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pivotTables/pivotTable13.xml" ContentType="application/vnd.openxmlformats-officedocument.spreadsheetml.pivotTable+xml"/>
  <Override PartName="/xl/pivotTables/pivotTable14.xml" ContentType="application/vnd.openxmlformats-officedocument.spreadsheetml.pivotTable+xml"/>
  <Override PartName="/xl/pivotTables/pivotTable15.xml" ContentType="application/vnd.openxmlformats-officedocument.spreadsheetml.pivotTable+xml"/>
  <Override PartName="/xl/pivotTables/pivotTable16.xml" ContentType="application/vnd.openxmlformats-officedocument.spreadsheetml.pivotTable+xml"/>
  <Override PartName="/xl/pivotTables/pivotTable17.xml" ContentType="application/vnd.openxmlformats-officedocument.spreadsheetml.pivotTab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ATENCION CIUDADANO - SDQS\EQUIPO YANIRA 2012\SDQS 2016\BASES DE DATOS\INFORMES TRIMESTRALES\"/>
    </mc:Choice>
  </mc:AlternateContent>
  <workbookProtection workbookPassword="EA31" lockStructure="1"/>
  <bookViews>
    <workbookView xWindow="0" yWindow="0" windowWidth="20490" windowHeight="8415"/>
  </bookViews>
  <sheets>
    <sheet name="REQUERIMIENTOS 2016 (2)" sheetId="7" r:id="rId1"/>
    <sheet name="REQUERIMIENTOS 2016" sheetId="4" state="hidden" r:id="rId2"/>
    <sheet name="TD" sheetId="5" state="hidden" r:id="rId3"/>
    <sheet name="GRAFICAS" sheetId="6" state="hidden" r:id="rId4"/>
    <sheet name="DIAS LABORALES" sheetId="3" state="hidden" r:id="rId5"/>
  </sheets>
  <externalReferences>
    <externalReference r:id="rId6"/>
  </externalReferences>
  <definedNames>
    <definedName name="_xlnm._FilterDatabase" localSheetId="3" hidden="1">GRAFICAS!$A$44:$B$52</definedName>
    <definedName name="_xlnm._FilterDatabase" localSheetId="1" hidden="1">'REQUERIMIENTOS 2016'!$A$5:$R$109</definedName>
    <definedName name="_xlnm._FilterDatabase" localSheetId="0" hidden="1">'REQUERIMIENTOS 2016 (2)'!$A$5:$R$109</definedName>
  </definedNames>
  <calcPr calcId="152511"/>
  <pivotCaches>
    <pivotCache cacheId="1" r:id="rId7"/>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2" i="7" l="1"/>
  <c r="G122" i="7" s="1"/>
  <c r="F119" i="7"/>
  <c r="F116" i="7"/>
  <c r="D116" i="7"/>
  <c r="D115" i="7"/>
  <c r="D114" i="7"/>
  <c r="D125" i="7" s="1"/>
  <c r="F113" i="7"/>
  <c r="F125" i="7" s="1"/>
  <c r="D113" i="7"/>
  <c r="Q109" i="7"/>
  <c r="R109" i="7" s="1"/>
  <c r="P109" i="7"/>
  <c r="H109" i="7"/>
  <c r="E109" i="7"/>
  <c r="Q108" i="7"/>
  <c r="R108" i="7" s="1"/>
  <c r="P108" i="7"/>
  <c r="H108" i="7"/>
  <c r="E108" i="7"/>
  <c r="Q107" i="7"/>
  <c r="R107" i="7" s="1"/>
  <c r="P107" i="7"/>
  <c r="H107" i="7"/>
  <c r="E107" i="7"/>
  <c r="Q106" i="7"/>
  <c r="R106" i="7" s="1"/>
  <c r="P106" i="7"/>
  <c r="H106" i="7"/>
  <c r="E106" i="7"/>
  <c r="R105" i="7"/>
  <c r="Q105" i="7"/>
  <c r="P105" i="7"/>
  <c r="H105" i="7"/>
  <c r="E105" i="7"/>
  <c r="Q104" i="7"/>
  <c r="R104" i="7" s="1"/>
  <c r="P104" i="7"/>
  <c r="H104" i="7"/>
  <c r="E104" i="7"/>
  <c r="Q103" i="7"/>
  <c r="R103" i="7" s="1"/>
  <c r="P103" i="7"/>
  <c r="H103" i="7"/>
  <c r="E103" i="7"/>
  <c r="Q102" i="7"/>
  <c r="R102" i="7" s="1"/>
  <c r="P102" i="7"/>
  <c r="H102" i="7"/>
  <c r="E102" i="7"/>
  <c r="Q101" i="7"/>
  <c r="R101" i="7" s="1"/>
  <c r="P101" i="7"/>
  <c r="H101" i="7"/>
  <c r="E101" i="7"/>
  <c r="Q100" i="7"/>
  <c r="R100" i="7" s="1"/>
  <c r="P100" i="7"/>
  <c r="H100" i="7"/>
  <c r="E100" i="7"/>
  <c r="Q99" i="7"/>
  <c r="R99" i="7" s="1"/>
  <c r="P99" i="7"/>
  <c r="H99" i="7"/>
  <c r="E99" i="7"/>
  <c r="Q98" i="7"/>
  <c r="R98" i="7" s="1"/>
  <c r="P98" i="7"/>
  <c r="H98" i="7"/>
  <c r="E98" i="7"/>
  <c r="R97" i="7"/>
  <c r="Q97" i="7"/>
  <c r="P97" i="7"/>
  <c r="H97" i="7"/>
  <c r="E97" i="7"/>
  <c r="Q96" i="7"/>
  <c r="R96" i="7" s="1"/>
  <c r="P96" i="7"/>
  <c r="H96" i="7"/>
  <c r="E96" i="7"/>
  <c r="Q95" i="7"/>
  <c r="R95" i="7" s="1"/>
  <c r="P95" i="7"/>
  <c r="H95" i="7"/>
  <c r="E95" i="7"/>
  <c r="Q94" i="7"/>
  <c r="R94" i="7" s="1"/>
  <c r="P94" i="7"/>
  <c r="H94" i="7"/>
  <c r="E94" i="7"/>
  <c r="Q93" i="7"/>
  <c r="R93" i="7" s="1"/>
  <c r="P93" i="7"/>
  <c r="H93" i="7"/>
  <c r="E93" i="7"/>
  <c r="Q92" i="7"/>
  <c r="R92" i="7" s="1"/>
  <c r="P92" i="7"/>
  <c r="H92" i="7"/>
  <c r="E92" i="7"/>
  <c r="Q91" i="7"/>
  <c r="R91" i="7" s="1"/>
  <c r="P91" i="7"/>
  <c r="H91" i="7"/>
  <c r="E91" i="7"/>
  <c r="Q90" i="7"/>
  <c r="R90" i="7" s="1"/>
  <c r="P90" i="7"/>
  <c r="H90" i="7"/>
  <c r="E90" i="7"/>
  <c r="Q89" i="7"/>
  <c r="R89" i="7" s="1"/>
  <c r="P89" i="7"/>
  <c r="H89" i="7"/>
  <c r="E89" i="7"/>
  <c r="Q88" i="7"/>
  <c r="R88" i="7" s="1"/>
  <c r="P88" i="7"/>
  <c r="H88" i="7"/>
  <c r="E88" i="7"/>
  <c r="Q87" i="7"/>
  <c r="R87" i="7" s="1"/>
  <c r="P87" i="7"/>
  <c r="H87" i="7"/>
  <c r="E87" i="7"/>
  <c r="Q86" i="7"/>
  <c r="R86" i="7" s="1"/>
  <c r="P86" i="7"/>
  <c r="H86" i="7"/>
  <c r="E86" i="7"/>
  <c r="R85" i="7"/>
  <c r="Q85" i="7"/>
  <c r="P85" i="7"/>
  <c r="H85" i="7"/>
  <c r="E85" i="7"/>
  <c r="Q84" i="7"/>
  <c r="R84" i="7" s="1"/>
  <c r="P84" i="7"/>
  <c r="H84" i="7"/>
  <c r="E84" i="7"/>
  <c r="Q83" i="7"/>
  <c r="R83" i="7" s="1"/>
  <c r="P83" i="7"/>
  <c r="H83" i="7"/>
  <c r="E83" i="7"/>
  <c r="Q82" i="7"/>
  <c r="R82" i="7" s="1"/>
  <c r="P82" i="7"/>
  <c r="H82" i="7"/>
  <c r="E82" i="7"/>
  <c r="Q81" i="7"/>
  <c r="R81" i="7" s="1"/>
  <c r="P81" i="7"/>
  <c r="H81" i="7"/>
  <c r="E81" i="7"/>
  <c r="Q80" i="7"/>
  <c r="R80" i="7" s="1"/>
  <c r="P80" i="7"/>
  <c r="H80" i="7"/>
  <c r="E80" i="7"/>
  <c r="Q79" i="7"/>
  <c r="R79" i="7" s="1"/>
  <c r="P79" i="7"/>
  <c r="H79" i="7"/>
  <c r="E79" i="7"/>
  <c r="Q78" i="7"/>
  <c r="R78" i="7" s="1"/>
  <c r="P78" i="7"/>
  <c r="H78" i="7"/>
  <c r="E78" i="7"/>
  <c r="Q77" i="7"/>
  <c r="R77" i="7" s="1"/>
  <c r="P77" i="7"/>
  <c r="H77" i="7"/>
  <c r="E77" i="7"/>
  <c r="Q76" i="7"/>
  <c r="R76" i="7" s="1"/>
  <c r="P76" i="7"/>
  <c r="H76" i="7"/>
  <c r="E76" i="7"/>
  <c r="Q75" i="7"/>
  <c r="R75" i="7" s="1"/>
  <c r="P75" i="7"/>
  <c r="H75" i="7"/>
  <c r="E75" i="7"/>
  <c r="Q74" i="7"/>
  <c r="R74" i="7" s="1"/>
  <c r="P74" i="7"/>
  <c r="H74" i="7"/>
  <c r="E74" i="7"/>
  <c r="R73" i="7"/>
  <c r="Q73" i="7"/>
  <c r="P73" i="7"/>
  <c r="H73" i="7"/>
  <c r="E73" i="7"/>
  <c r="Q72" i="7"/>
  <c r="R72" i="7" s="1"/>
  <c r="P72" i="7"/>
  <c r="H72" i="7"/>
  <c r="E72" i="7"/>
  <c r="Q71" i="7"/>
  <c r="R71" i="7" s="1"/>
  <c r="P71" i="7"/>
  <c r="H71" i="7"/>
  <c r="E71" i="7"/>
  <c r="Q70" i="7"/>
  <c r="R70" i="7" s="1"/>
  <c r="P70" i="7"/>
  <c r="H70" i="7"/>
  <c r="E70" i="7"/>
  <c r="Q69" i="7"/>
  <c r="R69" i="7" s="1"/>
  <c r="P69" i="7"/>
  <c r="H69" i="7"/>
  <c r="E69" i="7"/>
  <c r="Q68" i="7"/>
  <c r="R68" i="7" s="1"/>
  <c r="P68" i="7"/>
  <c r="H68" i="7"/>
  <c r="E68" i="7"/>
  <c r="Q67" i="7"/>
  <c r="R67" i="7" s="1"/>
  <c r="P67" i="7"/>
  <c r="H67" i="7"/>
  <c r="E67" i="7"/>
  <c r="Q66" i="7"/>
  <c r="R66" i="7" s="1"/>
  <c r="P66" i="7"/>
  <c r="H66" i="7"/>
  <c r="E66" i="7"/>
  <c r="R65" i="7"/>
  <c r="Q65" i="7"/>
  <c r="P65" i="7"/>
  <c r="H65" i="7"/>
  <c r="E65" i="7"/>
  <c r="Q64" i="7"/>
  <c r="R64" i="7" s="1"/>
  <c r="P64" i="7"/>
  <c r="H64" i="7"/>
  <c r="E64" i="7"/>
  <c r="Q63" i="7"/>
  <c r="R63" i="7" s="1"/>
  <c r="P63" i="7"/>
  <c r="H63" i="7"/>
  <c r="E63" i="7"/>
  <c r="Q62" i="7"/>
  <c r="R62" i="7" s="1"/>
  <c r="P62" i="7"/>
  <c r="H62" i="7"/>
  <c r="E62" i="7"/>
  <c r="Q61" i="7"/>
  <c r="R61" i="7" s="1"/>
  <c r="P61" i="7"/>
  <c r="H61" i="7"/>
  <c r="E61" i="7"/>
  <c r="Q60" i="7"/>
  <c r="R60" i="7" s="1"/>
  <c r="P60" i="7"/>
  <c r="H60" i="7"/>
  <c r="E60" i="7"/>
  <c r="Q59" i="7"/>
  <c r="R59" i="7" s="1"/>
  <c r="P59" i="7"/>
  <c r="H59" i="7"/>
  <c r="E59" i="7"/>
  <c r="Q58" i="7"/>
  <c r="R58" i="7" s="1"/>
  <c r="P58" i="7"/>
  <c r="H58" i="7"/>
  <c r="E58" i="7"/>
  <c r="Q57" i="7"/>
  <c r="R57" i="7" s="1"/>
  <c r="P57" i="7"/>
  <c r="H57" i="7"/>
  <c r="E57" i="7"/>
  <c r="Q56" i="7"/>
  <c r="R56" i="7" s="1"/>
  <c r="P56" i="7"/>
  <c r="H56" i="7"/>
  <c r="E56" i="7"/>
  <c r="Q55" i="7"/>
  <c r="R55" i="7" s="1"/>
  <c r="P55" i="7"/>
  <c r="H55" i="7"/>
  <c r="E55" i="7"/>
  <c r="Q54" i="7"/>
  <c r="R54" i="7" s="1"/>
  <c r="P54" i="7"/>
  <c r="H54" i="7"/>
  <c r="E54" i="7"/>
  <c r="R53" i="7"/>
  <c r="Q53" i="7"/>
  <c r="P53" i="7"/>
  <c r="H53" i="7"/>
  <c r="E53" i="7"/>
  <c r="Q52" i="7"/>
  <c r="R52" i="7" s="1"/>
  <c r="P52" i="7"/>
  <c r="H52" i="7"/>
  <c r="E52" i="7"/>
  <c r="Q51" i="7"/>
  <c r="R51" i="7" s="1"/>
  <c r="P51" i="7"/>
  <c r="H51" i="7"/>
  <c r="E51" i="7"/>
  <c r="Q50" i="7"/>
  <c r="R50" i="7" s="1"/>
  <c r="P50" i="7"/>
  <c r="H50" i="7"/>
  <c r="E50" i="7"/>
  <c r="Q49" i="7"/>
  <c r="R49" i="7" s="1"/>
  <c r="P49" i="7"/>
  <c r="H49" i="7"/>
  <c r="E49" i="7"/>
  <c r="Q48" i="7"/>
  <c r="R48" i="7" s="1"/>
  <c r="P48" i="7"/>
  <c r="H48" i="7"/>
  <c r="E48" i="7"/>
  <c r="Q47" i="7"/>
  <c r="R47" i="7" s="1"/>
  <c r="P47" i="7"/>
  <c r="H47" i="7"/>
  <c r="E47" i="7"/>
  <c r="Q46" i="7"/>
  <c r="R46" i="7" s="1"/>
  <c r="P46" i="7"/>
  <c r="H46" i="7"/>
  <c r="E46" i="7"/>
  <c r="Q45" i="7"/>
  <c r="R45" i="7" s="1"/>
  <c r="P45" i="7"/>
  <c r="H45" i="7"/>
  <c r="E45" i="7"/>
  <c r="Q44" i="7"/>
  <c r="R44" i="7" s="1"/>
  <c r="P44" i="7"/>
  <c r="H44" i="7"/>
  <c r="E44" i="7"/>
  <c r="Q43" i="7"/>
  <c r="R43" i="7" s="1"/>
  <c r="P43" i="7"/>
  <c r="H43" i="7"/>
  <c r="E43" i="7"/>
  <c r="Q42" i="7"/>
  <c r="R42" i="7" s="1"/>
  <c r="P42" i="7"/>
  <c r="H42" i="7"/>
  <c r="E42" i="7"/>
  <c r="R41" i="7"/>
  <c r="Q41" i="7"/>
  <c r="P41" i="7"/>
  <c r="H41" i="7"/>
  <c r="E41" i="7"/>
  <c r="Q40" i="7"/>
  <c r="R40" i="7" s="1"/>
  <c r="P40" i="7"/>
  <c r="H40" i="7"/>
  <c r="E40" i="7"/>
  <c r="Q39" i="7"/>
  <c r="R39" i="7" s="1"/>
  <c r="P39" i="7"/>
  <c r="H39" i="7"/>
  <c r="E39" i="7"/>
  <c r="Q38" i="7"/>
  <c r="R38" i="7" s="1"/>
  <c r="P38" i="7"/>
  <c r="H38" i="7"/>
  <c r="E38" i="7"/>
  <c r="Q37" i="7"/>
  <c r="R37" i="7" s="1"/>
  <c r="P37" i="7"/>
  <c r="H37" i="7"/>
  <c r="E37" i="7"/>
  <c r="Q36" i="7"/>
  <c r="R36" i="7" s="1"/>
  <c r="P36" i="7"/>
  <c r="H36" i="7"/>
  <c r="E36" i="7"/>
  <c r="Q35" i="7"/>
  <c r="R35" i="7" s="1"/>
  <c r="P35" i="7"/>
  <c r="H35" i="7"/>
  <c r="E35" i="7"/>
  <c r="Q34" i="7"/>
  <c r="R34" i="7" s="1"/>
  <c r="P34" i="7"/>
  <c r="H34" i="7"/>
  <c r="E34" i="7"/>
  <c r="R33" i="7"/>
  <c r="Q33" i="7"/>
  <c r="P33" i="7"/>
  <c r="H33" i="7"/>
  <c r="E33" i="7"/>
  <c r="Q32" i="7"/>
  <c r="R32" i="7" s="1"/>
  <c r="P32" i="7"/>
  <c r="H32" i="7"/>
  <c r="E32" i="7"/>
  <c r="Q31" i="7"/>
  <c r="R31" i="7" s="1"/>
  <c r="P31" i="7"/>
  <c r="H31" i="7"/>
  <c r="E31" i="7"/>
  <c r="Q30" i="7"/>
  <c r="R30" i="7" s="1"/>
  <c r="P30" i="7"/>
  <c r="H30" i="7"/>
  <c r="E30" i="7"/>
  <c r="Q29" i="7"/>
  <c r="R29" i="7" s="1"/>
  <c r="P29" i="7"/>
  <c r="H29" i="7"/>
  <c r="E29" i="7"/>
  <c r="Q28" i="7"/>
  <c r="R28" i="7" s="1"/>
  <c r="P28" i="7"/>
  <c r="H28" i="7"/>
  <c r="E28" i="7"/>
  <c r="Q27" i="7"/>
  <c r="R27" i="7" s="1"/>
  <c r="P27" i="7"/>
  <c r="H27" i="7"/>
  <c r="E27" i="7"/>
  <c r="Q26" i="7"/>
  <c r="R26" i="7" s="1"/>
  <c r="P26" i="7"/>
  <c r="H26" i="7"/>
  <c r="E26" i="7"/>
  <c r="Q25" i="7"/>
  <c r="R25" i="7" s="1"/>
  <c r="P25" i="7"/>
  <c r="H25" i="7"/>
  <c r="E25" i="7"/>
  <c r="Q24" i="7"/>
  <c r="R24" i="7" s="1"/>
  <c r="P24" i="7"/>
  <c r="H24" i="7"/>
  <c r="E24" i="7"/>
  <c r="Q23" i="7"/>
  <c r="R23" i="7" s="1"/>
  <c r="P23" i="7"/>
  <c r="H23" i="7"/>
  <c r="E23" i="7"/>
  <c r="Q22" i="7"/>
  <c r="R22" i="7" s="1"/>
  <c r="P22" i="7"/>
  <c r="H22" i="7"/>
  <c r="E22" i="7"/>
  <c r="R21" i="7"/>
  <c r="Q21" i="7"/>
  <c r="P21" i="7"/>
  <c r="H21" i="7"/>
  <c r="E21" i="7"/>
  <c r="Q20" i="7"/>
  <c r="R20" i="7" s="1"/>
  <c r="P20" i="7"/>
  <c r="H20" i="7"/>
  <c r="E20" i="7"/>
  <c r="Q19" i="7"/>
  <c r="R19" i="7" s="1"/>
  <c r="P19" i="7"/>
  <c r="H19" i="7"/>
  <c r="E19" i="7"/>
  <c r="Q18" i="7"/>
  <c r="R18" i="7" s="1"/>
  <c r="P18" i="7"/>
  <c r="H18" i="7"/>
  <c r="E18" i="7"/>
  <c r="Q17" i="7"/>
  <c r="R17" i="7" s="1"/>
  <c r="P17" i="7"/>
  <c r="H17" i="7"/>
  <c r="E17" i="7"/>
  <c r="Q16" i="7"/>
  <c r="R16" i="7" s="1"/>
  <c r="P16" i="7"/>
  <c r="H16" i="7"/>
  <c r="E16" i="7"/>
  <c r="Q15" i="7"/>
  <c r="R15" i="7" s="1"/>
  <c r="P15" i="7"/>
  <c r="H15" i="7"/>
  <c r="E15" i="7"/>
  <c r="Q14" i="7"/>
  <c r="R14" i="7" s="1"/>
  <c r="P14" i="7"/>
  <c r="H14" i="7"/>
  <c r="E14" i="7"/>
  <c r="Q13" i="7"/>
  <c r="R13" i="7" s="1"/>
  <c r="P13" i="7"/>
  <c r="H13" i="7"/>
  <c r="E13" i="7"/>
  <c r="Q12" i="7"/>
  <c r="R12" i="7" s="1"/>
  <c r="P12" i="7"/>
  <c r="H12" i="7"/>
  <c r="E12" i="7"/>
  <c r="Q11" i="7"/>
  <c r="R11" i="7" s="1"/>
  <c r="P11" i="7"/>
  <c r="H11" i="7"/>
  <c r="E11" i="7"/>
  <c r="Q10" i="7"/>
  <c r="R10" i="7" s="1"/>
  <c r="P10" i="7"/>
  <c r="H10" i="7"/>
  <c r="E10" i="7"/>
  <c r="R9" i="7"/>
  <c r="Q9" i="7"/>
  <c r="P9" i="7"/>
  <c r="H9" i="7"/>
  <c r="E9" i="7"/>
  <c r="Q8" i="7"/>
  <c r="R8" i="7" s="1"/>
  <c r="P8" i="7"/>
  <c r="H8" i="7"/>
  <c r="E8" i="7"/>
  <c r="Q7" i="7"/>
  <c r="R7" i="7" s="1"/>
  <c r="P7" i="7"/>
  <c r="H7" i="7"/>
  <c r="E7" i="7"/>
  <c r="Q6" i="7"/>
  <c r="R6" i="7" s="1"/>
  <c r="P6" i="7"/>
  <c r="H6" i="7"/>
  <c r="E6" i="7"/>
  <c r="H105" i="4"/>
  <c r="H106" i="4"/>
  <c r="E114" i="7" l="1"/>
  <c r="E115" i="7" s="1"/>
  <c r="E116" i="7" s="1"/>
  <c r="E117" i="7" s="1"/>
  <c r="E118" i="7" s="1"/>
  <c r="E119" i="7" s="1"/>
  <c r="E120" i="7" s="1"/>
  <c r="E121" i="7" s="1"/>
  <c r="E122" i="7" s="1"/>
  <c r="E123" i="7" s="1"/>
  <c r="E124" i="7" s="1"/>
  <c r="G116" i="7"/>
  <c r="G119" i="7"/>
  <c r="G113" i="7"/>
  <c r="K115" i="4"/>
  <c r="F242" i="6" l="1"/>
  <c r="F241" i="6"/>
  <c r="F240" i="6"/>
  <c r="F243" i="6" l="1"/>
  <c r="B98" i="5"/>
  <c r="F88" i="5"/>
  <c r="F231" i="6"/>
  <c r="F218" i="6"/>
  <c r="B199" i="6"/>
  <c r="B207" i="6"/>
  <c r="F194" i="6"/>
  <c r="F190" i="6"/>
  <c r="B175" i="6"/>
  <c r="F169" i="6"/>
  <c r="F157" i="6"/>
  <c r="F153" i="6"/>
  <c r="B99" i="5"/>
  <c r="B204" i="6"/>
  <c r="F188" i="6"/>
  <c r="F167" i="6"/>
  <c r="B97" i="5"/>
  <c r="F221" i="6"/>
  <c r="F217" i="6"/>
  <c r="B202" i="6"/>
  <c r="B203" i="6"/>
  <c r="F193" i="6"/>
  <c r="F189" i="6"/>
  <c r="B174" i="6"/>
  <c r="F168" i="6"/>
  <c r="F156" i="6"/>
  <c r="F152" i="6"/>
  <c r="B101" i="5"/>
  <c r="F89" i="5"/>
  <c r="F220" i="6"/>
  <c r="F192" i="6"/>
  <c r="B100" i="5"/>
  <c r="F232" i="6"/>
  <c r="F219" i="6"/>
  <c r="B201" i="6"/>
  <c r="B200" i="6"/>
  <c r="F195" i="6"/>
  <c r="F191" i="6"/>
  <c r="F187" i="6"/>
  <c r="B176" i="6"/>
  <c r="F166" i="6"/>
  <c r="F154" i="6"/>
  <c r="B96" i="5"/>
  <c r="F91" i="5"/>
  <c r="F86" i="5"/>
  <c r="F90" i="5"/>
  <c r="B205" i="6"/>
  <c r="B206" i="6"/>
  <c r="B173" i="6"/>
  <c r="F155" i="6"/>
  <c r="F87" i="5"/>
  <c r="F170" i="6" l="1"/>
  <c r="F196" i="6"/>
  <c r="F158" i="6"/>
  <c r="F222" i="6"/>
  <c r="F233" i="6"/>
  <c r="F119" i="6"/>
  <c r="F118" i="6"/>
  <c r="F117" i="6"/>
  <c r="F124" i="6"/>
  <c r="F123" i="6"/>
  <c r="F122" i="6"/>
  <c r="F121" i="6"/>
  <c r="F130" i="6"/>
  <c r="F129" i="6"/>
  <c r="F128" i="6"/>
  <c r="F127" i="6"/>
  <c r="F126" i="6"/>
  <c r="F136" i="6"/>
  <c r="F133" i="6"/>
  <c r="F132" i="6"/>
  <c r="F143" i="6"/>
  <c r="F142" i="6"/>
  <c r="F141" i="6"/>
  <c r="F140" i="6"/>
  <c r="F139" i="6"/>
  <c r="F138" i="6"/>
  <c r="L93" i="6"/>
  <c r="L92" i="6"/>
  <c r="F71" i="6"/>
  <c r="F115" i="6"/>
  <c r="F68" i="6"/>
  <c r="F6" i="6"/>
  <c r="F106" i="6"/>
  <c r="F66" i="6"/>
  <c r="F9" i="6"/>
  <c r="F35" i="6"/>
  <c r="F125" i="6"/>
  <c r="B21" i="6"/>
  <c r="B52" i="6"/>
  <c r="F30" i="6"/>
  <c r="F120" i="6"/>
  <c r="B17" i="6"/>
  <c r="B48" i="6"/>
  <c r="F37" i="6"/>
  <c r="F134" i="6"/>
  <c r="F137" i="6"/>
  <c r="B20" i="6"/>
  <c r="B44" i="6"/>
  <c r="F114" i="6"/>
  <c r="F64" i="6"/>
  <c r="F5" i="6"/>
  <c r="F31" i="6"/>
  <c r="F108" i="6"/>
  <c r="B23" i="6"/>
  <c r="B47" i="6"/>
  <c r="F104" i="6"/>
  <c r="F105" i="6"/>
  <c r="B19" i="6"/>
  <c r="B50" i="6"/>
  <c r="F36" i="6"/>
  <c r="F135" i="6"/>
  <c r="F116" i="6"/>
  <c r="B22" i="6"/>
  <c r="B46" i="6"/>
  <c r="F131" i="6"/>
  <c r="B16" i="6"/>
  <c r="B51" i="6"/>
  <c r="F110" i="6"/>
  <c r="F67" i="6"/>
  <c r="F12" i="6"/>
  <c r="B45" i="6"/>
  <c r="F109" i="6"/>
  <c r="F63" i="6"/>
  <c r="F11" i="6"/>
  <c r="F33" i="6"/>
  <c r="F70" i="6"/>
  <c r="F107" i="6"/>
  <c r="F103" i="6"/>
  <c r="F10" i="6"/>
  <c r="F32" i="6"/>
  <c r="F111" i="6"/>
  <c r="B18" i="6"/>
  <c r="B49" i="6"/>
  <c r="F113" i="6"/>
  <c r="F69" i="6"/>
  <c r="F8" i="6"/>
  <c r="F34" i="6"/>
  <c r="F112" i="6"/>
  <c r="F65" i="6"/>
  <c r="F7" i="6"/>
  <c r="F29" i="6"/>
  <c r="F144" i="6" l="1"/>
  <c r="F72" i="6"/>
  <c r="F38" i="6"/>
  <c r="Q109" i="4"/>
  <c r="R109" i="4" s="1"/>
  <c r="P109" i="4"/>
  <c r="H109" i="4"/>
  <c r="E109" i="4"/>
  <c r="Q108" i="4"/>
  <c r="R108" i="4" s="1"/>
  <c r="P108" i="4"/>
  <c r="H108" i="4"/>
  <c r="E108" i="4"/>
  <c r="Q107" i="4"/>
  <c r="R107" i="4" s="1"/>
  <c r="P107" i="4"/>
  <c r="H107" i="4"/>
  <c r="E107" i="4"/>
  <c r="Q106" i="4"/>
  <c r="R106" i="4" s="1"/>
  <c r="P106" i="4"/>
  <c r="E106" i="4"/>
  <c r="Q105" i="4"/>
  <c r="R105" i="4" s="1"/>
  <c r="P105" i="4"/>
  <c r="E105" i="4"/>
  <c r="F13" i="6" l="1"/>
  <c r="Q103" i="4"/>
  <c r="R103" i="4" s="1"/>
  <c r="P103" i="4"/>
  <c r="H103" i="4"/>
  <c r="E103" i="4"/>
  <c r="Q102" i="4"/>
  <c r="R102" i="4" s="1"/>
  <c r="P102" i="4"/>
  <c r="H102" i="4"/>
  <c r="E102" i="4"/>
  <c r="Q101" i="4"/>
  <c r="R101" i="4" s="1"/>
  <c r="P101" i="4"/>
  <c r="H101" i="4"/>
  <c r="E101" i="4"/>
  <c r="Q100" i="4"/>
  <c r="R100" i="4" s="1"/>
  <c r="P100" i="4"/>
  <c r="H100" i="4"/>
  <c r="E100" i="4"/>
  <c r="Q99" i="4"/>
  <c r="R99" i="4" s="1"/>
  <c r="P99" i="4"/>
  <c r="H99" i="4"/>
  <c r="E99" i="4"/>
  <c r="Q98" i="4"/>
  <c r="R98" i="4" s="1"/>
  <c r="P98" i="4"/>
  <c r="H98" i="4"/>
  <c r="E98" i="4"/>
  <c r="Q97" i="4"/>
  <c r="R97" i="4" s="1"/>
  <c r="P97" i="4"/>
  <c r="H97" i="4"/>
  <c r="E97" i="4"/>
  <c r="Q96" i="4"/>
  <c r="R96" i="4" s="1"/>
  <c r="P96" i="4"/>
  <c r="H96" i="4"/>
  <c r="E96" i="4"/>
  <c r="Q95" i="4"/>
  <c r="R95" i="4" s="1"/>
  <c r="P95" i="4"/>
  <c r="H95" i="4"/>
  <c r="E95" i="4"/>
  <c r="Q94" i="4"/>
  <c r="R94" i="4" s="1"/>
  <c r="P94" i="4"/>
  <c r="H94" i="4"/>
  <c r="E94" i="4"/>
  <c r="Q93" i="4"/>
  <c r="R93" i="4" s="1"/>
  <c r="P93" i="4"/>
  <c r="H93" i="4"/>
  <c r="E93" i="4"/>
  <c r="Q92" i="4"/>
  <c r="R92" i="4" s="1"/>
  <c r="P92" i="4"/>
  <c r="H92" i="4"/>
  <c r="E92" i="4"/>
  <c r="E78" i="4" l="1"/>
  <c r="E79" i="4"/>
  <c r="E80" i="4"/>
  <c r="E81" i="4"/>
  <c r="E82" i="4"/>
  <c r="E83" i="4"/>
  <c r="E84" i="4"/>
  <c r="E85" i="4"/>
  <c r="E86" i="4"/>
  <c r="E87" i="4"/>
  <c r="E88" i="4"/>
  <c r="E89" i="4"/>
  <c r="E90" i="4"/>
  <c r="E91" i="4"/>
  <c r="E104" i="4"/>
  <c r="Q77" i="4" l="1"/>
  <c r="R77" i="4" s="1"/>
  <c r="P77" i="4"/>
  <c r="H77" i="4"/>
  <c r="E77" i="4"/>
  <c r="Q90" i="4" l="1"/>
  <c r="R90" i="4" s="1"/>
  <c r="P90" i="4"/>
  <c r="H90" i="4"/>
  <c r="Q89" i="4"/>
  <c r="R89" i="4" s="1"/>
  <c r="P89" i="4"/>
  <c r="H89" i="4"/>
  <c r="Q88" i="4"/>
  <c r="R88" i="4" s="1"/>
  <c r="P88" i="4"/>
  <c r="H88" i="4"/>
  <c r="Q87" i="4"/>
  <c r="R87" i="4" s="1"/>
  <c r="P87" i="4"/>
  <c r="H87" i="4"/>
  <c r="Q86" i="4"/>
  <c r="R86" i="4" s="1"/>
  <c r="P86" i="4"/>
  <c r="H86" i="4"/>
  <c r="Q85" i="4"/>
  <c r="R85" i="4" s="1"/>
  <c r="P85" i="4"/>
  <c r="H85" i="4"/>
  <c r="Q84" i="4"/>
  <c r="R84" i="4" s="1"/>
  <c r="P84" i="4"/>
  <c r="H84" i="4"/>
  <c r="Q83" i="4"/>
  <c r="R83" i="4" s="1"/>
  <c r="P83" i="4"/>
  <c r="H83" i="4"/>
  <c r="Q82" i="4"/>
  <c r="R82" i="4" s="1"/>
  <c r="P82" i="4"/>
  <c r="H82" i="4"/>
  <c r="Q81" i="4"/>
  <c r="R81" i="4" s="1"/>
  <c r="P81" i="4"/>
  <c r="H81" i="4"/>
  <c r="Q80" i="4"/>
  <c r="R80" i="4" s="1"/>
  <c r="P80" i="4"/>
  <c r="H80" i="4"/>
  <c r="Q79" i="4"/>
  <c r="R79" i="4" s="1"/>
  <c r="P79" i="4"/>
  <c r="H79" i="4"/>
  <c r="Q78" i="4"/>
  <c r="R78" i="4" s="1"/>
  <c r="P78" i="4"/>
  <c r="H78" i="4"/>
  <c r="Q76" i="4"/>
  <c r="R76" i="4" s="1"/>
  <c r="P76" i="4"/>
  <c r="H76" i="4"/>
  <c r="E76" i="4"/>
  <c r="Q75" i="4"/>
  <c r="R75" i="4" s="1"/>
  <c r="P75" i="4"/>
  <c r="H75" i="4"/>
  <c r="E75" i="4"/>
  <c r="Q74" i="4"/>
  <c r="R74" i="4" s="1"/>
  <c r="P74" i="4"/>
  <c r="H74" i="4"/>
  <c r="E74" i="4"/>
  <c r="Q73" i="4"/>
  <c r="R73" i="4" s="1"/>
  <c r="P73" i="4"/>
  <c r="H73" i="4"/>
  <c r="E73" i="4"/>
  <c r="Q72" i="4"/>
  <c r="R72" i="4" s="1"/>
  <c r="P72" i="4"/>
  <c r="H72" i="4"/>
  <c r="E72" i="4"/>
  <c r="Q71" i="4"/>
  <c r="R71" i="4" s="1"/>
  <c r="P71" i="4"/>
  <c r="H71" i="4"/>
  <c r="E71" i="4"/>
  <c r="Q70" i="4"/>
  <c r="R70" i="4" s="1"/>
  <c r="P70" i="4"/>
  <c r="H70" i="4"/>
  <c r="E70" i="4"/>
  <c r="Q69" i="4"/>
  <c r="R69" i="4" s="1"/>
  <c r="P69" i="4"/>
  <c r="H69" i="4"/>
  <c r="E69" i="4"/>
  <c r="Q68" i="4"/>
  <c r="R68" i="4" s="1"/>
  <c r="P68" i="4"/>
  <c r="H68" i="4"/>
  <c r="E68" i="4"/>
  <c r="Q67" i="4"/>
  <c r="R67" i="4" s="1"/>
  <c r="P67" i="4"/>
  <c r="H67" i="4"/>
  <c r="E67" i="4"/>
  <c r="Q66" i="4"/>
  <c r="R66" i="4" s="1"/>
  <c r="P66" i="4"/>
  <c r="H66" i="4"/>
  <c r="E66" i="4"/>
  <c r="Q65" i="4"/>
  <c r="R65" i="4" s="1"/>
  <c r="P65" i="4"/>
  <c r="H65" i="4"/>
  <c r="E65" i="4"/>
  <c r="Q64" i="4"/>
  <c r="R64" i="4" s="1"/>
  <c r="P64" i="4"/>
  <c r="H64" i="4"/>
  <c r="E64" i="4"/>
  <c r="Q63" i="4"/>
  <c r="R63" i="4" s="1"/>
  <c r="P63" i="4"/>
  <c r="H63" i="4"/>
  <c r="E63" i="4"/>
  <c r="Q62" i="4"/>
  <c r="R62" i="4" s="1"/>
  <c r="P62" i="4"/>
  <c r="H62" i="4"/>
  <c r="E62" i="4"/>
  <c r="Q104" i="4" l="1"/>
  <c r="R104" i="4" s="1"/>
  <c r="P104" i="4"/>
  <c r="H104" i="4"/>
  <c r="Q91" i="4"/>
  <c r="R91" i="4" s="1"/>
  <c r="P91" i="4"/>
  <c r="H91" i="4"/>
  <c r="Q61" i="4"/>
  <c r="R61" i="4" s="1"/>
  <c r="P61" i="4"/>
  <c r="H61" i="4"/>
  <c r="E61" i="4"/>
  <c r="Q60" i="4"/>
  <c r="R60" i="4" s="1"/>
  <c r="P60" i="4"/>
  <c r="H60" i="4"/>
  <c r="E60" i="4"/>
  <c r="Q59" i="4"/>
  <c r="R59" i="4" s="1"/>
  <c r="P59" i="4"/>
  <c r="H59" i="4"/>
  <c r="E59" i="4"/>
  <c r="Q58" i="4"/>
  <c r="R58" i="4" s="1"/>
  <c r="P58" i="4"/>
  <c r="H58" i="4"/>
  <c r="E58" i="4"/>
  <c r="Q57" i="4"/>
  <c r="R57" i="4" s="1"/>
  <c r="P57" i="4"/>
  <c r="H57" i="4"/>
  <c r="E57" i="4"/>
  <c r="Q56" i="4"/>
  <c r="R56" i="4" s="1"/>
  <c r="P56" i="4"/>
  <c r="H56" i="4"/>
  <c r="E56" i="4"/>
  <c r="E40" i="4" l="1"/>
  <c r="H40" i="4"/>
  <c r="P40" i="4"/>
  <c r="Q40" i="4"/>
  <c r="R40" i="4" s="1"/>
  <c r="E41" i="4"/>
  <c r="H41" i="4"/>
  <c r="P41" i="4"/>
  <c r="Q41" i="4"/>
  <c r="R41" i="4" s="1"/>
  <c r="E42" i="4"/>
  <c r="H42" i="4"/>
  <c r="P42" i="4"/>
  <c r="Q42" i="4"/>
  <c r="R42" i="4" s="1"/>
  <c r="E43" i="4"/>
  <c r="H43" i="4"/>
  <c r="P43" i="4"/>
  <c r="Q43" i="4"/>
  <c r="R43" i="4" s="1"/>
  <c r="E44" i="4"/>
  <c r="H44" i="4"/>
  <c r="P44" i="4"/>
  <c r="Q44" i="4"/>
  <c r="R44" i="4" s="1"/>
  <c r="E45" i="4"/>
  <c r="H45" i="4"/>
  <c r="P45" i="4"/>
  <c r="Q45" i="4"/>
  <c r="R45" i="4" s="1"/>
  <c r="E46" i="4"/>
  <c r="H46" i="4"/>
  <c r="P46" i="4"/>
  <c r="Q46" i="4"/>
  <c r="R46" i="4" s="1"/>
  <c r="E47" i="4"/>
  <c r="H47" i="4"/>
  <c r="P47" i="4"/>
  <c r="Q47" i="4"/>
  <c r="R47" i="4" s="1"/>
  <c r="E48" i="4"/>
  <c r="H48" i="4"/>
  <c r="P48" i="4"/>
  <c r="Q48" i="4"/>
  <c r="R48" i="4" s="1"/>
  <c r="E49" i="4"/>
  <c r="H49" i="4"/>
  <c r="P49" i="4"/>
  <c r="Q49" i="4"/>
  <c r="R49" i="4" s="1"/>
  <c r="E50" i="4"/>
  <c r="H50" i="4"/>
  <c r="P50" i="4"/>
  <c r="Q50" i="4"/>
  <c r="R50" i="4" s="1"/>
  <c r="E51" i="4"/>
  <c r="H51" i="4"/>
  <c r="P51" i="4"/>
  <c r="Q51" i="4"/>
  <c r="R51" i="4" s="1"/>
  <c r="E52" i="4"/>
  <c r="H52" i="4"/>
  <c r="P52" i="4"/>
  <c r="Q52" i="4"/>
  <c r="R52" i="4" s="1"/>
  <c r="E53" i="4"/>
  <c r="H53" i="4"/>
  <c r="P53" i="4"/>
  <c r="Q53" i="4"/>
  <c r="R53" i="4" s="1"/>
  <c r="E54" i="4"/>
  <c r="H54" i="4"/>
  <c r="P54" i="4"/>
  <c r="Q54" i="4"/>
  <c r="R54" i="4" s="1"/>
  <c r="E55" i="4"/>
  <c r="H55" i="4"/>
  <c r="P55" i="4"/>
  <c r="Q55" i="4"/>
  <c r="R55" i="4" s="1"/>
  <c r="F117" i="4" l="1"/>
  <c r="G117" i="4" s="1"/>
  <c r="Q39" i="4" l="1"/>
  <c r="R39" i="4" s="1"/>
  <c r="P39" i="4"/>
  <c r="H39" i="4"/>
  <c r="E39" i="4"/>
  <c r="Q38" i="4"/>
  <c r="R38" i="4" s="1"/>
  <c r="P38" i="4"/>
  <c r="H38" i="4"/>
  <c r="E38" i="4"/>
  <c r="Q37" i="4"/>
  <c r="R37" i="4" s="1"/>
  <c r="P37" i="4"/>
  <c r="H37" i="4"/>
  <c r="E37" i="4"/>
  <c r="Q36" i="4"/>
  <c r="R36" i="4" s="1"/>
  <c r="P36" i="4"/>
  <c r="H36" i="4"/>
  <c r="E36" i="4"/>
  <c r="Q35" i="4"/>
  <c r="R35" i="4" s="1"/>
  <c r="P35" i="4"/>
  <c r="H35" i="4"/>
  <c r="E35" i="4"/>
  <c r="Q34" i="4"/>
  <c r="R34" i="4" s="1"/>
  <c r="P34" i="4"/>
  <c r="H34" i="4"/>
  <c r="E34" i="4"/>
  <c r="Q33" i="4"/>
  <c r="R33" i="4" s="1"/>
  <c r="P33" i="4"/>
  <c r="H33" i="4"/>
  <c r="E33" i="4"/>
  <c r="Q32" i="4"/>
  <c r="R32" i="4" s="1"/>
  <c r="P32" i="4"/>
  <c r="H32" i="4"/>
  <c r="E32" i="4"/>
  <c r="Q31" i="4"/>
  <c r="R31" i="4" s="1"/>
  <c r="P31" i="4"/>
  <c r="H31" i="4"/>
  <c r="E31" i="4"/>
  <c r="Q30" i="4"/>
  <c r="R30" i="4" s="1"/>
  <c r="P30" i="4"/>
  <c r="H30" i="4"/>
  <c r="E30" i="4"/>
  <c r="Q27" i="4" l="1"/>
  <c r="R27" i="4" s="1"/>
  <c r="P27" i="4"/>
  <c r="H27" i="4"/>
  <c r="E27" i="4"/>
  <c r="Q26" i="4"/>
  <c r="R26" i="4" s="1"/>
  <c r="P26" i="4"/>
  <c r="H26" i="4"/>
  <c r="E26" i="4"/>
  <c r="Q25" i="4"/>
  <c r="R25" i="4" s="1"/>
  <c r="P25" i="4"/>
  <c r="H25" i="4"/>
  <c r="E25" i="4"/>
  <c r="Q24" i="4"/>
  <c r="R24" i="4" s="1"/>
  <c r="P24" i="4"/>
  <c r="H24" i="4"/>
  <c r="E24" i="4"/>
  <c r="Q23" i="4"/>
  <c r="R23" i="4" s="1"/>
  <c r="P23" i="4"/>
  <c r="H23" i="4"/>
  <c r="E23" i="4"/>
  <c r="Q22" i="4"/>
  <c r="R22" i="4" s="1"/>
  <c r="P22" i="4"/>
  <c r="H22" i="4"/>
  <c r="E22" i="4"/>
  <c r="Q21" i="4"/>
  <c r="R21" i="4" s="1"/>
  <c r="P21" i="4"/>
  <c r="H21" i="4"/>
  <c r="E21" i="4"/>
  <c r="Q20" i="4"/>
  <c r="R20" i="4" s="1"/>
  <c r="P20" i="4"/>
  <c r="H20" i="4"/>
  <c r="E20" i="4"/>
  <c r="Q19" i="4"/>
  <c r="R19" i="4" s="1"/>
  <c r="P19" i="4"/>
  <c r="H19" i="4"/>
  <c r="E19" i="4"/>
  <c r="Q7" i="4" l="1"/>
  <c r="R7" i="4" s="1"/>
  <c r="Q8" i="4"/>
  <c r="R8" i="4" s="1"/>
  <c r="Q9" i="4"/>
  <c r="R9" i="4" s="1"/>
  <c r="Q10" i="4"/>
  <c r="R10" i="4" s="1"/>
  <c r="Q11" i="4"/>
  <c r="R11" i="4" s="1"/>
  <c r="Q12" i="4"/>
  <c r="R12" i="4" s="1"/>
  <c r="Q13" i="4"/>
  <c r="R13" i="4" s="1"/>
  <c r="Q14" i="4"/>
  <c r="R14" i="4" s="1"/>
  <c r="Q15" i="4"/>
  <c r="R15" i="4" s="1"/>
  <c r="Q16" i="4"/>
  <c r="R16" i="4" s="1"/>
  <c r="Q17" i="4"/>
  <c r="R17" i="4" s="1"/>
  <c r="Q18" i="4"/>
  <c r="R18" i="4" s="1"/>
  <c r="Q28" i="4"/>
  <c r="R28" i="4" s="1"/>
  <c r="Q29" i="4"/>
  <c r="R29" i="4" s="1"/>
  <c r="Q6" i="4"/>
  <c r="R6" i="4" s="1"/>
  <c r="H7" i="4"/>
  <c r="H8" i="4"/>
  <c r="H9" i="4"/>
  <c r="H10" i="4"/>
  <c r="H11" i="4"/>
  <c r="H12" i="4"/>
  <c r="H13" i="4"/>
  <c r="H14" i="4"/>
  <c r="H15" i="4"/>
  <c r="H16" i="4"/>
  <c r="H17" i="4"/>
  <c r="H18" i="4"/>
  <c r="H28" i="4"/>
  <c r="H29" i="4"/>
  <c r="H6" i="4"/>
  <c r="E6" i="4" l="1"/>
  <c r="P6" i="4"/>
  <c r="E7" i="4"/>
  <c r="P7" i="4"/>
  <c r="E8" i="4"/>
  <c r="P8" i="4"/>
  <c r="E9" i="4"/>
  <c r="P9" i="4"/>
  <c r="E10" i="4"/>
  <c r="P10" i="4"/>
  <c r="E11" i="4"/>
  <c r="P11" i="4"/>
  <c r="E12" i="4"/>
  <c r="P12" i="4"/>
  <c r="E13" i="4"/>
  <c r="P13" i="4"/>
  <c r="E14" i="4"/>
  <c r="P14" i="4"/>
  <c r="E15" i="4"/>
  <c r="P15" i="4"/>
  <c r="E16" i="4"/>
  <c r="P16" i="4"/>
  <c r="E17" i="4"/>
  <c r="P17" i="4"/>
  <c r="E18" i="4"/>
  <c r="P18" i="4"/>
  <c r="E28" i="4"/>
  <c r="P28" i="4"/>
  <c r="E29" i="4"/>
  <c r="P29" i="4"/>
  <c r="F120" i="4" l="1"/>
  <c r="F123" i="4"/>
  <c r="F126" i="4"/>
  <c r="G123" i="4" l="1"/>
  <c r="G120" i="4"/>
  <c r="G126" i="4"/>
  <c r="F129" i="4"/>
</calcChain>
</file>

<file path=xl/sharedStrings.xml><?xml version="1.0" encoding="utf-8"?>
<sst xmlns="http://schemas.openxmlformats.org/spreadsheetml/2006/main" count="2189" uniqueCount="461">
  <si>
    <t>PROCESO</t>
  </si>
  <si>
    <t>ATENCIÓN A LA CIUDADANIA</t>
  </si>
  <si>
    <t>CÓDIGO</t>
  </si>
  <si>
    <t>A-ACI-FT-003</t>
  </si>
  <si>
    <t>VERSIÓN</t>
  </si>
  <si>
    <t>04</t>
  </si>
  <si>
    <t xml:space="preserve">FORMATO </t>
  </si>
  <si>
    <t>CONTROL DE REQUERIMIENTOS CIUDADANOS</t>
  </si>
  <si>
    <t>PÁGINA:</t>
  </si>
  <si>
    <t>1 DE 1</t>
  </si>
  <si>
    <t>VIGENTE DESDE</t>
  </si>
  <si>
    <t>Q</t>
  </si>
  <si>
    <t>MENSUAL</t>
  </si>
  <si>
    <t>TIPO REQ.</t>
  </si>
  <si>
    <t>NO. REQ.</t>
  </si>
  <si>
    <t>ESTADO REQ</t>
  </si>
  <si>
    <t>RADICADO IDIPRON</t>
  </si>
  <si>
    <t>FECHA INGRESO REQ</t>
  </si>
  <si>
    <t>FECHA DE VENCIMIENTO</t>
  </si>
  <si>
    <t>FECHA DE RESPUESTA</t>
  </si>
  <si>
    <t>ASUNTO REQUERIMIENTO</t>
  </si>
  <si>
    <t>TIPIFICACION SERVICIOS</t>
  </si>
  <si>
    <t>CLASIFICADO A</t>
  </si>
  <si>
    <t>CANAL</t>
  </si>
  <si>
    <t>ASUNTO 2</t>
  </si>
  <si>
    <t>CUENTA DIAS</t>
  </si>
  <si>
    <t>RANGOS DE CONTESTACION</t>
  </si>
  <si>
    <t>N/A</t>
  </si>
  <si>
    <t>YAG001</t>
  </si>
  <si>
    <t>SUBMETODOS</t>
  </si>
  <si>
    <t>DIRECCION</t>
  </si>
  <si>
    <t>TEMAS ADMINISTRATIVOS</t>
  </si>
  <si>
    <t>COMEDORES</t>
  </si>
  <si>
    <t>TEMAS MISIONALES UPIS</t>
  </si>
  <si>
    <t>WEB</t>
  </si>
  <si>
    <t>ESCRITO</t>
  </si>
  <si>
    <t>Total</t>
  </si>
  <si>
    <t>Acumulado</t>
  </si>
  <si>
    <t>Variación</t>
  </si>
  <si>
    <t>ENERO</t>
  </si>
  <si>
    <t>FEBRERO</t>
  </si>
  <si>
    <t>MARZO</t>
  </si>
  <si>
    <t>ABRIL</t>
  </si>
  <si>
    <t>MAYO</t>
  </si>
  <si>
    <t>JUNIO</t>
  </si>
  <si>
    <t>JULIO</t>
  </si>
  <si>
    <t>AGOSTO</t>
  </si>
  <si>
    <t>SEPTIEMBRE</t>
  </si>
  <si>
    <t>OCTUBRE</t>
  </si>
  <si>
    <t>NOVIEMBRE</t>
  </si>
  <si>
    <t>DICIEMBRE</t>
  </si>
  <si>
    <t>TOTAL VIGENCIA 2015</t>
  </si>
  <si>
    <t>PLANEACION</t>
  </si>
  <si>
    <t>RESPUESTA</t>
  </si>
  <si>
    <t>Trimestre</t>
  </si>
  <si>
    <t>NOMBRE</t>
  </si>
  <si>
    <t>CAROLINA BARAHONA GOMEZ</t>
  </si>
  <si>
    <t>BUEN DIA, EN EL BARRIO JUAN PABLO II CIUDAD BOLIVAR HAY MUCHOS JOVENES DESEMPLEDOS, EN PLENA ETAPA PRODUCTIVA, SIN OPORTUNIDADES Y CON ESCASOS RECURSOS HASTA PARA PASAR UNA HOJA DE VIDA, AGRADEZCO A QUIEN CORREPONDAN SE HACERQUEN AL BARRIO Y ESTOS JOVENES SEAN INSCRITOS EN ALGUN PROGRAMA QUE LOS AYUDE A VER LA VIDA CON OTROS OJOS, LES SOLICITO POR FAVOR QUE SE HECERQUEN AL BARRIO PARA AYUDAR A ESTOS JOVENES CON EMPLEO Y OPORTUNIDADES DE ESTUDIO QUE LOS PUEDA LLEVAR A MEJORAR SU CALIDAD DE VIDA Y SU FUTURO. SI NO ES DE SU COMPETENCIA POR FAVOR COPIE A QUIEN CORREPONDA, JUAN PABLO II HA ESTADO POR MAS DE 30 AÑOS EN EL OLVIDO Y ABANDONO, LAS AYUDAS A LOS MAS NECESITADOS NUNCA HAN LLEGADO AL BARRIO, YA ES HORA DE QUE LLEGUEN , EL BARRIO ES ACTUALMENTE LA PRIMERA ESTACION DE METROCABLE EN CONSTRUCCION, Y ES EVIDENTE SU TOTAL Y ABSOLUTO ABANDONO POR PARTE DE TODAS LAS ENTIDADES ESTO SERA EVIDENTE UNA VEZ ESTE EN FUNCIONAMIENTO EL METROCABLE. AGRADEZCO QUE JUAN PABLO II SEA INCLUIDO EN LOS PROGRAMAS, AYUDAS, Y SUBCIDIOS, DE TRABAJO Y ESTUDIO EN ESPECIAL PARA LOS JOVENES , QUE DE ALGUNA MANERA LOS JOVENES DEL BARRIO SE VEAN VENEFICIADOS CON LA CONSTRUCCION DEL METRO CABLE, Y EN GENERAL TODO PROGRAMA YA QUE NUNCA POR MAS DE 30 AÑOS HA LLEGADO UNA AYUDA QUE BENEFICIE A SUS HABITANTES DENTRO DE LOS PROYECTOS Y PROGRAMAS PARA LOS MAS NECESITADOS</t>
  </si>
  <si>
    <t xml:space="preserve">LENNYS ALEXANDRA MENDEZ ROMERO </t>
  </si>
  <si>
    <t xml:space="preserve">INTERPONE REQUERIMIENTO SOLICITANDO INFORMACION RELACIONDA CON EL FALLO  DE LA CORTE CONSTITUCIONAL  EN AL AÑO 2011. </t>
  </si>
  <si>
    <t>DIANA MATEUS</t>
  </si>
  <si>
    <t>MUY BUENOS DÍAS. QUISIERA SABER COMO FUNCIONA EL PROGRAMA DE DESINTOXICACIÓN PARA LAS PERSONAS QUE QUIEREN SALIR DE LAS DROGAS. EN PERSONAS JÓVENES.</t>
  </si>
  <si>
    <t>BUEN DIA, TENIENDO EN CUENTA LA CAMPAÑA QUE LIDERAN "JOVENES DE PAZ" SOLICITO POR FAVOR SE REALICE O UNA CONVOCATORIA O UNA ESTRATEGIA DE VINCULACION A LOS JOVENES QUE MAS LO NECESITAN EN ZONAS MAS APARTADAS Y DIFICILES TALES QUE PUEDAN VINCULAR A LOS JOVENES DE LOS BARRIOS PARAISO, VILLA GLORIA Y JUAN PABLO II DE CIUDAD BOLIVAR, EN ESTOS BARRIOS LOS MAS ALEJADOS GEOGRAFICAMENTE DE LA CIUDAD Y CON UN ALTO INDICE DE JOVENES DESOCUPADOS, AGRADEZCO SE HACERQUEN A LA ZONA PARA EVIDENCIAR LAS DIFICULTADES Y SE REALICE UNA INTERVENCION PARA LLAMAR ESTOS JOVENES A TENER ALGUNA OPORTUNIDAD YA SEA DE TRABAJO O DE EDUCACION, POR FAVOR REALIZAR ALGUN PROGRAMA DIRECTAMENTE EN LOS BARRIOS YA QUE MUCHOS DE ESTOS JOVENES EN LA POBRESA Y SEGREGACION ABSOLUTA NO CUENTAN CON ACCESO A MEDIOS DE COMUNICACION QUE LES PERMITA CONOCER Y ACCEDER A SUS PROYECTOS. HAGO UN LLAMADO PARA QUE SE HACERQUEN A LOS BARRIOS Y AYUDEN A ESTOS JOVENES A TENER UN FUTURO MEJOR, MUCHOS DE ESTOA SON MUY MUY POBRES . CORDIAL SALUDO.</t>
  </si>
  <si>
    <t>ALBERTO CONTRERAS</t>
  </si>
  <si>
    <t>SOLICITUD DE INTERVENCIÓN ANTE LA SECRETARIA DISTRITAL DE PLANEACION PARA PUBLICAR EN PAGINA PLAN DE ACCIÓN 2015</t>
  </si>
  <si>
    <t>BUEN DIA, EN EL BARRIO JUAN PABLO II CIUDAD BOLIVAR HAY MUCHOS ANCIANOS EN ESTADO DE ABANDONO, QUE VIVEN RECOGIENDO ENTRE LA BASURA ALIMENTOS O COSAS PARA VENDER COMO RECICLAJE, SOLICITO POR FAVOR; 1. QUE REGRESEN LOS COMEDORES ALMENOS PARA ELLOS Y 2. QUE LAS AYUDAS PARA LOS MAS NECESITADOS LLEGUEN A LOS ANCIANOS Y NIÑOS DE JUAN PABLO II , EL BARRIO ACTUALMENTE UN MONUMENTO AL ABANDONO, DESCUIDO Y OLVIDO DE TODAS LAS ENTIDADES, TAMBIEN ES LA PRIMER ESTACION DEL METROCABLE ACTUALMENTE EN CONSTRUCCION, QUEREMOS QUE ESTO CAMBIE SOLICITO POR FAVOR A LAS ENTIDADES QUE CORRESPONDA SE HACERQUEN AL BARRIO Y EVIDENCIEN POR SI MISMOS LA SITUACION DE ANCIANOS Y NIÑOS QUE REQUIEREN AL MENOS EL COMEDOR COMUNITARIO ENTRE OTROS SUBSIDIOS O AYUDAS QUE PUEDAN MEJORAR SU CALIDAD DE VIDA. POR FAVOR COPIE LA RESPUESTA A LA ENTIDAD QUE CORRESPONDA SI NO ES DE SU COMPETENCIA.</t>
  </si>
  <si>
    <t>MIGUEL ÁNGEL CUEVAS CUEVAS</t>
  </si>
  <si>
    <t>JORDY STEVEN GUTIÉRREZ BAUTISTA</t>
  </si>
  <si>
    <t>presenta derecho de petición solicitando fotocopia del acta de liquidación.</t>
  </si>
  <si>
    <t>presenta derecho de petición solicitando certificados de pagos.</t>
  </si>
  <si>
    <t>presenta derecho de petición solicitando fotocopia del acto administrativo.</t>
  </si>
  <si>
    <t>presenta queja sobre estudiantes del programa jóvenes en paz.</t>
  </si>
  <si>
    <t>QUEJA</t>
  </si>
  <si>
    <t>YAG002</t>
  </si>
  <si>
    <t>YAG003</t>
  </si>
  <si>
    <t>YAG004</t>
  </si>
  <si>
    <t>YAG005</t>
  </si>
  <si>
    <t>JURIDICA</t>
  </si>
  <si>
    <t>SUBFINANCIERA</t>
  </si>
  <si>
    <t>JÓVENES EN PAZ</t>
  </si>
  <si>
    <t>YAG006</t>
  </si>
  <si>
    <t>SOLICITUD DE INFORMACIÓN</t>
  </si>
  <si>
    <t>JAIRO URREA</t>
  </si>
  <si>
    <t>MISION BOGOTA</t>
  </si>
  <si>
    <t>muy buenas noches les escribo estas líneas para solicitarles por favor me regalen una razón sobre que va a pasar con nosotros los guías de misión Bogotá que nos encontramos inquietos sobre nuestro futuro por el cambio de administración y pedirles que por favor nos separen de los mal llamados "jóvenes en paz" gracias por su atención</t>
  </si>
  <si>
    <t>YAG007</t>
  </si>
  <si>
    <t>YAG008</t>
  </si>
  <si>
    <t>THOMAS SANTIAGO MORA BARRERA</t>
  </si>
  <si>
    <t>CARLOS RODOLFO BORJA HERRERA</t>
  </si>
  <si>
    <t>Solicita continuar con sus labores y continuar con su formación ya que manifiesta que se le presentaron problemas con compañeros guías.</t>
  </si>
  <si>
    <t>Alcalde de la localidad de Santafé fe remite petición de la señora Jackeline Miranda y el señor Viviana Puentes solicitando algún tipo de oportunidad laboral.</t>
  </si>
  <si>
    <t>SOLICITUD DE COPIA</t>
  </si>
  <si>
    <t>2016ER201</t>
  </si>
  <si>
    <t>DESARROLLO HUMANO</t>
  </si>
  <si>
    <t>PROCEDENTE DE LA RED DE VEEDURIAS SE RECIBE COPIA DE CORRE ELECTRONICO, CON LA SIGUIENTE SOLICITUD: SEÑORES ALCALDIA MAYOR SOLICITAMOS CONOCER EL INFORME DE CONTROL INTERNO, DE LA ALCALDIA MAYOR Y L SECRETARIA DE GOBIERNO- SOBRE 1) CONVENIOS INTERADMINISTRATIVOS 2) CONVENIOS DE ASOCIACION 3) TODOS LOS CONTRATOS QUE FIRMO LA OFICINA DEL ALTO CONSEJERO DE TICS, DURANTE LOS ULTIMOS 4 AÑOS, NOMBRES DE LOS CONTRATISTAS, INTERVENTORES Y SUPERVISORES, Y SUS CORREOS ELECTRONICOS 4)- ES NECESARIO, CONOCER COMO SERA EL PLAN DE AUSTERIDAD DEL GASTO DEL 40% QUE ANUNCIO EL ALCALDE PEÑALOZA, ASPECTO QUE FELICITAMOS Y RESPALDAMOS 5) CUANTOS CURSOS, DIPLOMADOS, CONFERENCIAS, CAPACITACIONES SOBRE LAS NORMAS ANTICORRUPCION, LOS RIESGOS DE LOS CONVENIOS DE ASOCIACION Y CONVENIOS INTERADMINISTRATIVOS , LOS DELITOS CONTRA LA ADMINISTRACIÒN PÙBLICA, , LA ETICA DE LO PUBLICO, EL CONTROL AL ENRIQUECIMIENTO ILICITO DE FUNCIONARIOS PUBLICOS, , EL INCREMENTO PATRIMONIAL INJUSTIFICADOS , SE REALIZARON DURANTE LOS ULTIMOS 4 AÑOS, EN CUMPLIMIENTO DEL EJE DEL PLAN DE DESARROLLO DE DEFENSA DE LO PUBLICO; Y CULTURA ANTICORRUPCION FAVOR DETALLAR LA RESPUESTA POR CADA ENTIDAD DEL DISTRITO, Y EMPRESAS INDUSTRIALES Y COMERCIALES, COMO LA EMPRESA DE ENERGIA EAAB ETB. RELACIONANDO LA ENTIDAD CONTRATADA; PARA DICHA CAPACITACIÒN ANTICORRUPCION, INCLUYENDO LOS CONVENIOS CON PNUD, OFICINA CONTRA LA DROGA Y EL DELITO, ONU RELACIONANDO EL NOMBRE DEL CAPACITADOR, FACILITADOR, EXPERTO ANTICORRUPCION, UNIVERSIDAD, ONG., QUE DICTARON LAS CONFERENCIAS, TALLERES, DIPLOMADOS, ETC. CORDIALMENTE ALBERTO CONTRERAS</t>
  </si>
  <si>
    <t>EL SEÑOR ALBERTO CONTRERAS EN CALIDAD DE VEEDOR CIUDADANO, MEDIANTE OFICIO RADICADO EN LA SECRETARIA GENERAL SOLICITA:1)EL LISTADO DE TODOS LOS RESPONSABLES DE LAS OFICINAS DE CONTROL INTERNO DE TODAS LAS ENTIDADES DISTRITALES. 2) EL ENVÍO DE LA RELACIÓN DE COSTOS DEL DIRECTOS E INDIRECTOS DE TODAS LAS OFICINAS DE CONTROL INTERNO DEL DISTRITO, DISCRIMINANDO EL COSTO DE LOS CONTRATISTAS ASIGNADOS A OFICINA DE CONTROL INTERNO. 3) CONOCER EL COSTO DE LA PERSONERÍA, CONTRALORIA Y VEEDURIA DISTRITAL DURANTE LOS ÚLTIMOS 4 AÑOS. 4) INDICAR EL COSTO DE LA PROCURADURIA 1 Y 2 DISTRITALES Y DE LA PROCURADURIA DELEGADA DE CUNDINAMARCA.</t>
  </si>
  <si>
    <t>JENNY ALEXANDRA ROMERO PULIDO</t>
  </si>
  <si>
    <t>INTERPONE DERECHO DE PETICION  INFORMANDO SITUACIONES DE DISTRIMINACION QUE LA OBLIGARON A DEJAR LOS ESTUDIOS .</t>
  </si>
  <si>
    <t>CON GUSTO Y SATISFACCION SE NOTA Y SE RESPIRA EN LA SEDE ADMINISTRATIVA DE IDIPRON EL CAMBIO DE GOBIERNO HOY REINA LA EDUCACION EL SALUDO EL BUEN TRATO EL RESPETO LA MOTIVACION PARA CONTINUAR LA LABOR TAN ARDUA Y DE PACIENCIA Y VOCACIONQUE REQUIEREN NUESTROS NINOS NINAS JOVENES ADOLESCDENTES YA NOY HA DICTADURA IRRESPETO VULGARIDADES GRITOS MAL AMBIENTE DISCRIMINACION TODO EL MUNDO HACE SU TRABAJO SIN QUE LO OFENDAN LO HUMILLEN LO PONGAN EN RIDICULO LE INVENTEN FALSEDADES SE ACABO ESE REGIMEN DEL TERROR DONDE NO SE PODIA PENSAR SINO TODO ERA IMPUESTO.GRACIAS SEÑOR PEÑALOZA GRACIAS SEÑOR GRAJALES.</t>
  </si>
  <si>
    <t>YAG009</t>
  </si>
  <si>
    <t>YAG010</t>
  </si>
  <si>
    <t>YAG011</t>
  </si>
  <si>
    <t>YAG012</t>
  </si>
  <si>
    <t>YAG013</t>
  </si>
  <si>
    <t>YAG014</t>
  </si>
  <si>
    <t>YAG015</t>
  </si>
  <si>
    <t>YAG016</t>
  </si>
  <si>
    <t>RECLAMO</t>
  </si>
  <si>
    <t>SUGERENCIA</t>
  </si>
  <si>
    <t>FELICITACIÓN</t>
  </si>
  <si>
    <t>VIVIANA ORTEGA</t>
  </si>
  <si>
    <t>BUZÓN</t>
  </si>
  <si>
    <t>AGRADECIMIENTOS</t>
  </si>
  <si>
    <t>LINCY GIL RODRÍGUEZ</t>
  </si>
  <si>
    <t>Usuaria de la UPI ESCNNA sugiere les den mas materiales para hacer manualidades.</t>
  </si>
  <si>
    <t>ANGELA BARBOSA Y DIEGO OSPINA</t>
  </si>
  <si>
    <t>SARITA GALEANO AYALA Y 10 PERSONAS MAS</t>
  </si>
  <si>
    <t>DIANA PAOLA PULIDO FORERO</t>
  </si>
  <si>
    <t>BLANCA SOYA TORRES</t>
  </si>
  <si>
    <t>Usuaria de la UPI ESCNNA presenta reclamo para que sea mas reconocida la unidad.</t>
  </si>
  <si>
    <t>Usuarios de la UPI ESCNNA sugieren mas talleres pedagógicos y de manualidades.</t>
  </si>
  <si>
    <t>Usuarios de la UPI ESCNNA sugiere algunos arreglos locativos de la unidad principalmente el baño múltiple que no funcionan los lavamanos.</t>
  </si>
  <si>
    <t>Usuaria de la UPI LA ARCADIA sugiere una salida a piscilago, que les permitan traer audífonos para escuchar música y que su uniforme sea alusivo a Idipron.</t>
  </si>
  <si>
    <t>Usuaria de la UPI LA ARCADIA sugiere una salida pedagógica, realizar mas deportes y que su uniforme sea alusivo a Idipron.</t>
  </si>
  <si>
    <t>LAURA VALENTINA GONZALES LÓPEZ</t>
  </si>
  <si>
    <t>ALEJANDRO BERNAL</t>
  </si>
  <si>
    <t>Usuario del COMEDOR ARBORIZADORA agradece a todos los funcionarios por todas sus labores realizadas durante el año anterior.</t>
  </si>
  <si>
    <t>Usuaria de la UPI LA ARCADIA sugiere mas deportes, paseos mas seguidos, salidas al parque con los de la florida y mas fogatas.</t>
  </si>
  <si>
    <t>OFICIO 2016EE115 DE FECHA 15 ENERO./2016</t>
  </si>
  <si>
    <t>OFICIO 2016EE103 DE FECHA 14 ENERO./2016</t>
  </si>
  <si>
    <t>OFICIO 2016EE190 DE FECHA 21 ENERO./2016</t>
  </si>
  <si>
    <t>OFICIO 2016EE177 DE FECHA 20 ENERO./2016</t>
  </si>
  <si>
    <t>OFICIO 2016EE195 DE FECHA 21 ENERO./2016</t>
  </si>
  <si>
    <t>OFICIO 2016EE196 DE FECHA 21 ENERO./2016</t>
  </si>
  <si>
    <t>OFICIO 2016EE198 DE FECHA 21 ENERO./2016</t>
  </si>
  <si>
    <t>PETICIÓN INTERÉS PARTICULAR</t>
  </si>
  <si>
    <t>PETICIÓN INTERÉS GENERAL</t>
  </si>
  <si>
    <t>2016ER336</t>
  </si>
  <si>
    <t>Interpone derecho de petición solicitando la dejen continuar en el programa del cual la sacaron por deserción.</t>
  </si>
  <si>
    <t>2016ER300</t>
  </si>
  <si>
    <t>MAURICIO ANDRES CEPEDA</t>
  </si>
  <si>
    <t>Por medio del presente comunicado, solicito respuesta de preferencia pragmatica, respecto a dos circunstancias que agreden de manifiesto con el debido goce de los derechos humanos y constitucionales dentro del sistema integrado de transporte publico de bogota. Hechos: - Las zonas de parada de los troncales y alimentadores no esta señalizada o se encuentran borrosas e invisibles para los conductores de los buses, lo que de por si no viola algun derecho fundamental, pero que al coincidir con el estado de crisis de algunas personas que no desconocen la fila y/o orden de llegada a la parada, propicia agresiones, "cosquilleos", estres y en consecuencia la corrupcion de la dignidad humana, la salud y la vida. - Ya culminadas las tareas de proselitismo politico impuestas a los trabajadores distritales del logo bogota humana, acerca del reparto de miles de periodicos. Deben ellos supervisar el respeto en las paradas, como venia haciendose en algunos puntos del sistema, en lugar de aparecer inactivos y permanente reunion dentro de sus horarios de labor, incluso siendo en ocasiones siendo testigos de momentos de caos y estampida a las puertas de los buses del sistema. La persistencia de estos hechos afecta el erario publico, niega el derecho al trabajo a personas con vocacion del servicio y perturba el derecho a la movilidad. Esperando dispensen lo escueto del comunicado y con todo el animo de aportar por el bienestar social tanto de usuarios como de los no usuarios. Atentamente Mauro Andres Cepeda</t>
  </si>
  <si>
    <t>GABRIEL RINCON</t>
  </si>
  <si>
    <t>SOLICITUD DE INTERVENCION POR MALA ATENCION A PERSONAS INCAPACITADAS EN TRANSMILENIO</t>
  </si>
  <si>
    <t xml:space="preserve">NOHEMI QUINTO HURTADO </t>
  </si>
  <si>
    <t>FUNCIONARIOS  DE UPI FLORIDA  PRESENTAN QUEJA POR MALA CTITUD DEL CONDUCTOR FABIO MOLINA.</t>
  </si>
  <si>
    <t>BUEN DIA CON RESPECTO A MI SOLICITUD 20892016 " BUEN DIA, EN EL BARRIO JUAN PABLO II CIUDAD BOLIVAR HAY MUCHOS JOVENES DESEMPLEDOS, EN PLENA ETAPA PRODUCTIVA, SIN OPORTUNIDADES Y CON ESCASOS RECURSOS HASTA PARA PASAR UNA HOJA DE VIDA, AGRADEZCO A QUIEN CORREPONDAN SE HACERQUEN AL BARRIO Y ESTOS JOVENES SEAN INSCRITOS EN ALGUN PROGRAMA QUE LOS AYUDE A VER LA VIDA CON OTROS OJOS, LES SOLICITO POR FAVOR QUE SE HECERQUEN AL BARRIO PARA AYUDAR A ESTOS JOVENES CON EMPLEO Y OPORTUNIDADES DE ESTUDIO QUE LOS PUEDA LLEVAR A MEJORAR SU CALIDAD DE VIDA Y SU FUTURO. SI NO ES DE SU COMPETENCIA POR FAVOR COPIE A QUIEN CORREPONDA, JUAN PABLO II HA ESTADO POR MAS DE 30 AÑOS EN EL OLVIDO Y ABANDONO, LAS AYUDAS A LOS MAS NECESITADOS NUNCA HAN LLEGADO AL BARRIO, YA ES HORA DE QUE LLEGUEN , EL BARRIO ES ACTUALMENTE LA PRIMERA ESTACION DE METROCABLE EN CONSTRUCCION, Y ES EVIDENTE SU TOTAL Y ABSOLUTO ABANDONO POR PARTE DE TODAS LAS ENTIDADES ESTO SERA EVIDENTE UNA VEZ ESTE EN FUNCIONAMIENTO EL METROCABLE. AGRADEZCO QUE JUAN PABLO II SEA INCLUIDO EN LOS PROGRAMAS, AYUDAS, Y SUBCIDIOS, DE TRABAJO Y ESTUDIO EN ESPECIAL PARA LOS JOVENES , QUE DE ALGUNA MANERA LOS JOVENES DEL BARRIO SE VEAN VENEFICIADOS CON LA CONSTRUCCION DEL METRO CABLE, Y EN GENERAL TODO PROGRAMA YA QUE NUNCA POR MAS DE 30 AÑOS HA LLEGADO UNA AYUDA QUE BENEFICIE A SUS HABITANTES DENTRO DE LOS PROYECTOS Y PROGRAMAS PARA LOS MAS NECESITADOS. " LA CUAL ES MUY CLARA SOLICITANDO SE HACERQUEN Y VINCULEN DE LOS JOVENES DE LA COMUNIDAD EN LOS PROGRAMAS DE APOYO PARA ESTO. SIN EMBARGO RECIBI UNA CARTA DE RESPUESTA COMPLETAMENTE NEGLIGENTE YA SEA POR QUE QUIEN LEYO TIENE PROBLEMAS DE COMPRENSION DE LECTURA DE PARRAFOS CORTOS, EL CUAL ME RESPONDIO DANDOME INFORMACION , LA CUAL EN NINGUN MOMENTO ESTOY SOLICITANDO Y MENOS PARA MY, HAGO CLARIDAD QUE LA SOLICITUD ES PARA UNA COMUNIDAD COMPLETA NO PARA MI PERSONA UNICAMENTE , POR LO QUE LA RESPUESTA ES NEGLIGENTE Y EN NADA ESTA DIRIGIDA A LA COMUNIDAD NI A PRESENTE NI A FUTURO , DICHA RESPUESTA ADJUNTA NO ES COHERENTE EN NINGUNA FORMA FRENTE A LA SOLICITUD REALIZADA, ES NEGLIGENTE MUY SEGURAMENTE POR QUE QUIEN LEYO MI SOLICITUD TIENE PROBLEMAS DE COMPRESNSION DE LECTURA DE PARRAFOS CORTOS, MUY COMUN HOY EN DIA. POR LO QUE NUEVAMENTE SOLICITO SE INCLUYA A LA COMUNIDAD ( ESTO ES MUUUCHAS PERSONAS) EN LOS PROGRAMAS , PROYECTOS O ACTIVIDADES QUE ENCAMINEN A LOS JOVENES A TENER OPORTUNIDADES, YA SEA ENTREGANDOLES A ELLOS A LA COMUNIDAD LA INFORMACION QUE REQUIEREN EN UNA VISITA O INCLUYENDO A LA COMUNIDAD EN LOS PLANES E INFORMANDOLES A ELOS A LA COMUNIDAD YA SEA POR MEDIO DE VOLANTES INFORMATIVOS, CAMPAÑAS DE PERIFONEO, O CAMPAÑAS DIRECTAS EN EL BARRIO. ESTO PARA TODA LA COMUNIDAD. EN NADA SIRVE ESTA INFORMACION PARA MI, NUNCA PEDI INFORMACION PARA MI , CON LOGICA SENCILLA Y SENTIDO COMUN LA RESPUESTA DADA ES COMPLETAMENTE INCOMPETENTE A LA SOLICITUD REALIZADA. SIN LIGEREZAS POR FAVOR.</t>
  </si>
  <si>
    <t>OFICIO 2016EE280 DE FECHA 28 ENERO./2016</t>
  </si>
  <si>
    <t>OFICIO 2016EE282 DE FECHA 28 ENERO./2016</t>
  </si>
  <si>
    <t>JOSÉ ALEJANDRO GARCÍA BERNAL</t>
  </si>
  <si>
    <t>BAÑOS PUBLICOS</t>
  </si>
  <si>
    <t>presenta queja encontrar del señor Gustavo por la demora en los pagos del convenio de baños públicos.</t>
  </si>
  <si>
    <t>YAG017</t>
  </si>
  <si>
    <t>OFICIO 2016EE255 DE FECHA 27 ENERO./2016</t>
  </si>
  <si>
    <t>OFICIO 2016EE173 DE FECHA 20 ENERO./2016</t>
  </si>
  <si>
    <t>OFICIO 2016EE242 DE FECHA 26 ENERO./2016</t>
  </si>
  <si>
    <t>OFICIO 2016EE279 DE FECHA 28 ENERO./2016</t>
  </si>
  <si>
    <t>OFICIO 2016EE268 DE FECHA 28 ENERO./2016</t>
  </si>
  <si>
    <t>OFICIO 2016IE594 DE FECHA 28 ENERO./2016</t>
  </si>
  <si>
    <t>OFICIO 2016EE595 DE FECHA 28 ENERO./2016</t>
  </si>
  <si>
    <t>OFICIO 2016EE596 DE FECHA 28 ENERO./2016</t>
  </si>
  <si>
    <t>OFICIO 2016EE232 DE FECHA 22 ENERO./2016</t>
  </si>
  <si>
    <t>OFICIO 2016IE413 DE FECHA 22 ENERO./2016</t>
  </si>
  <si>
    <t>OFICIO 2016EE230 DE FECHA 22 ENERO./2016</t>
  </si>
  <si>
    <t>OFICIO 2016EE231 DE FECHA 25 ENERO./2016</t>
  </si>
  <si>
    <t>2016ER337</t>
  </si>
  <si>
    <t>2016ER392</t>
  </si>
  <si>
    <t>IDIPRON MALA ATENCION DE LA OPERARIA VERONICA MURILLO DE ATENCION DEL SERVICIO DE LOS BAÑOS. LA FALTA DE ATENCION Y DE RESPETO EN EL MOMENTO DE CANCELACION PARA UTILIZAR EL SERVICIO DE UNA FORMA GROSERA DE DIRIGIRSE AL USUARIO Y DE FALTA DE MODALES Y DE RELACIONES INTERPERSONALES. POR FAVOR UNA ATENCION Y UNA CAPACITACION DE SERVICIO AL CLIENTE GRACIAS</t>
  </si>
  <si>
    <t>RUBY QUIJANO</t>
  </si>
  <si>
    <t>PETICION PRESENTADA POR LA SEÑORA RUBY QUIJANO F., PRESIDENTA DE LA JUNTA DE ACCION COMUNAL ALTOS DE EGIPTO (TURBAY AYALA) MEDIANTE LA CUAL SOLICITA UNA CITA CON EL FIN DE REUNIESEN LO MAS PRONTO POSIBLE PARA ENTREGAR INFORMACION PERSONAL SOBRE ESTAS BANDAS DELINCUENCIALES 2016ER508</t>
  </si>
  <si>
    <t>MARY LUZ RUBIO GONZALEZ</t>
  </si>
  <si>
    <t xml:space="preserve">DE LA DEFENSORIA DL PUEBLO REMITE DEREHO DE PETIICON DEL JOVEN RONALD SEPULVEDA QUE SOLICITA ACLARACION DE MORA ANTE LA EPS. </t>
  </si>
  <si>
    <t>BUEN DIA, TENIENDO EN CUENTA LA CAMPAÑA QUE LIDERAN "JOVENES DE PAZ" SOLICITO POR FAVOR SE REALICE O UNA CONVOCATORIA O UNA ESTRATEGIA DE VINCULACION A LOS JOVENES QUE MAS LO NECESITAN EN ZONAS MAS APARTADAS Y DIFICILES TALES QUE PUEDAN VINCULAR A LOS JOVENES DE LOS BARRIOS PARAISO, VILLA GLORIA Y JUAN PABLO II DE CIUDAD BOLIVAR, EN ESTOS BARRIOS LOS MAS ALEJADOS GEOGRAFICAMENTE DE LA CIUDAD Y CON UN ALTO INDICE DE JOVENES DESOCUPADOS, AGRADEZCO SE HACERQUEN A LA ZONA PARA EVIDENCIAR LAS DIFICULTADES Y SE REALICE UNA INTERVENCION PARA LLAMAR ESTOS JOVENES A TENER ALGUNA OPORTUNIDAD YA SEA DE TRABAJO O DE EDUCACION, POR FAVOR REALIZAR ALGUN PROGRAMA DIRECTAMENTE EN LOS BARRIOS YA QUE MUCHOS DE ESTOS JOVENES EN LA POBRESA Y SEGREGACION ABSOLUTA NO CUENTAN CON ACCESO A MEDIOS DE COMUNICACION QUE LES PERMITA CONOCER Y ACCEDER A SUS PROYECTOS. HAGO UN LLAMADO PARA QUE SE HACERQUEN A LOS BARRIOS Y AYUDEN A ESTOS JOVENES A TENER UN FUTURO MEJOR, MUCHOS DE ESTOA SON MUY MUY POBRES . CORDIAL SALUDO</t>
  </si>
  <si>
    <t>ROCIO CARDENAS</t>
  </si>
  <si>
    <t>EL DIA DE HOY ME ACERQUE A LOS BAÑOS DE IDIPROM QUE QUEDAN CERCA AL SUPERCADE BOSA CON MI HIJA KAREN HERNANDEZ MENOR DE 5 AÑOS EN CONDICION DE DISCAPACIDAD VISUAL IGAUL QUE YO AL LLEGAR ME DI CUENTA QUE EL DINERO SE ME HBIA OLVIDADO EN EL,AUDITORIO QUE QUEDA EN DONDE ESTABA EN UNA REUNION DEL HABITAT AMABLEMENTE LE PEDI A LA FUNCIONARIA MARIBEL QUE SE ENCONTRABA EN TURNO A LAS 3:00PM QUE ME DEJARA INGRESAR CON LA NIÑA QUE YA LE ACERCARA EL DINERO EN REPETIDAS ACCIONES ME DIJO QUE NO EN UNA FORMA GROSERA ME RETIRE HACIA EL AUDITORIO PARA TRAER EL DIENRO EN EL CMINO ME ENCONTRE CON UNA PERSONA QUE AMABLEMENTE ME PRESTO $600 PARA PAGAAR EL SERVICIO DE BAÑO AL HACER EFECTIVO EL PAGO PARA EL INGRESO DE LA NIÑA ME DIJO QUE LA NIÑA TENIA QUE ENTRAR COLA YA QUE HABIA REGISTRADORA Y SI NO TENIA QUE PAAGAR LAS DOS SIN TENER EN CUENTA LAS CONDICIONES VISUALES DE MI HIJA Y LA EDAD, REITERANDO CON ESTO SU CONSIENCIA SOCIAL HACIA LOS MENORES Y PERSONAS CON DISCAPACIDAD FINALMENTE TUVE QUE PAGAR EL INGRESO DE LAS DOS Y ADICIONAL A ESTO A LA SEÑORA NO LE IMPORTO QUE LA NIÑA SE PUSO A LLORAR CUANDO ELLA SE NEGO A QUE YO LA COMPAÑARA</t>
  </si>
  <si>
    <t>YAG018</t>
  </si>
  <si>
    <t>JOAN SEBASTIÁN GONZÁLEZ</t>
  </si>
  <si>
    <t>FUNCIONARIO Y/O TRABAJADOR PUBLICO</t>
  </si>
  <si>
    <t>Joan González presenta queja en contra del funcionario William del archivo ubicado en misión Bogotá por palabras soeces en contra de su esposa.</t>
  </si>
  <si>
    <t>OFICIO 2016EE286 DE FECHA 29 ENERO./2016</t>
  </si>
  <si>
    <t>OFICIO 2016IE671 DE FECHA 29 ENERO./2016</t>
  </si>
  <si>
    <t>OFICIO 2016IE669 DE FECHA 29 ENERO./2016</t>
  </si>
  <si>
    <t>OFICIO 2016IE670 DE FECHA 29 ENERO./2016</t>
  </si>
  <si>
    <t>OFICIO 2016IE672 DE FECHA 29 ENERO./2016</t>
  </si>
  <si>
    <t>2016ER443</t>
  </si>
  <si>
    <t>2016ER444</t>
  </si>
  <si>
    <t>2016ER452</t>
  </si>
  <si>
    <t>WILLIAM NOMESQUE</t>
  </si>
  <si>
    <t>WILLAIM NOMESQUE INTERPONHE RECLAMOS POR SU DESCONTENTO  SOBRE EL MAL DISEÑO ESTRUCTURAL DE LOS SANITARIOS DEL  SUPERCADE DE MOVILIDAD.</t>
  </si>
  <si>
    <t>ERIKA PAULA GOMEZ</t>
  </si>
  <si>
    <t>ERIKA PAULA GOMEZ  INTREPONE QUEJA POR SUPUESTO MALTRATO RECIBIDO POR LAS PERSONAS QUE  ADMINISTRA EL BAÑO DEL SUPERCADE DE MOVILIDAD</t>
  </si>
  <si>
    <t>JOSE EMILIANO GONZALEZ</t>
  </si>
  <si>
    <t>INTERPONE DEERECHO DE PETICIION SOLICITANDO COPIA DE  CONTROL DE RECORRIDO  DE ADMINISTRAACION DE BIENES  E INFRAESTRUCTURA.</t>
  </si>
  <si>
    <t>ADOLFO GUERRERO</t>
  </si>
  <si>
    <t>SOLICITUD DE INTERVENCION EN ZONA DE AV. BOYACA CON CLLE 68</t>
  </si>
  <si>
    <t>ALVARO FERRER PELAEZ</t>
  </si>
  <si>
    <t>INTERPONE DERECHO DE PETICION SOLICITANDO PROYECTOS  PROYECTOS PARA RECUPERAR BOGOTA .</t>
  </si>
  <si>
    <t>CON EL ANIMO DE LA TRANSPARENCIA E IGUALDAD ENTRE LOS FUNCIONARIOS DEL INSTITUTO, SOLICITO SE REVISE EL SALARIO DE LA ODONTOLOGA YA QUE SU MONTO ES EXORBITANTE EN RELACION CON EL SALARIO DE LOS DEMAS PROFESIONALES NO SOLO DEL AREA A LA CUAL PERTENECE SINO CON EL RESTO DE EMPLEADOS. BAJO QUE PARAMETROS SE TASO DICHO SUELDO??? SI LAS FUNCIONES QUE REALIZA EN SU DESEMPEÑO LABORAL SON DE UNA AUXILIAR DE ODONDOLOGIA O DE UNA HIGIENISTA ORAL.? DONDE ESTAN LAS BASES JURIDICAS PARA ESTE CARGO?. ESTE RECLAMO VA CON COPIA A LA CONTRALORIA</t>
  </si>
  <si>
    <t>ALEJANDRO PORRAS RIVERA</t>
  </si>
  <si>
    <t>EL CIUDADNO SE COMUNICA SOLICITANDO LA INVESTIGACION A FUNCIONARIOS DEL IDIPRON QUE TRABAJA EN PROYECTO EN EL BICIPARQUEADERO DE LAS AGUAS . EN EL SISTEMA DEBE REGISTRAR UNOS DATOS Y EN ESTOS DIAS RECIBE UN WTHASAAP CON EL ALIAS AURI JAVIER PROPONIENDOLE ACTOS SEXUALES, EL CIUDADANO LE SIGUE EL JUEGO Y AURI JAVIER LE CUENTA QUE LO CONOCIO EN EL BICIPARQUEADERO DE LAS AGUAS, POR LO QUE EL CIUDADANO DEDUCE QUE ESTA PERSONA UTILIZO LA BASE DE DATOS DEL SISTEMA PARA OSTIGARLO</t>
  </si>
  <si>
    <t>TELEFONICO</t>
  </si>
  <si>
    <t>YAG019</t>
  </si>
  <si>
    <t>ANDY RAMIREZ CORTES</t>
  </si>
  <si>
    <t>INTERPONE RECLAMO PORQUE LA SEÑORA NATALIA MARIN DONATO IDENTIFICADA CON C.C. 102393460 SE ENCUENTRA VINCULADA AL PROGRAMA  JOVENEZ EN PAZ SIN NECESITARLO, PRESENTANDO DOCUMENTACION FALSA .</t>
  </si>
  <si>
    <t>GLORIA BEATRIZ BELTRAN</t>
  </si>
  <si>
    <t>BENEFICIARIA DEL COMEDOR BOSA PRESENTA RECLAMO SOLICITANDO  EN QUE ASAMBLE SE ESTIPULO EL HORARIO PARA RECIBIR LOS ALIMENTOS EN EL COMEDOR.</t>
  </si>
  <si>
    <t>YAG020</t>
  </si>
  <si>
    <t>YAG021</t>
  </si>
  <si>
    <t>YAG022</t>
  </si>
  <si>
    <t>YAG023</t>
  </si>
  <si>
    <t>YUREIDI MARCELA SANTIESTEBAN</t>
  </si>
  <si>
    <t>CATA M.</t>
  </si>
  <si>
    <t>ISABELA, SARAY, LILIBETH</t>
  </si>
  <si>
    <t>Usuarias de la UPI ARCADIA sugiere les den un taller de vitrales y uno de telares.</t>
  </si>
  <si>
    <t>Usuarias de la UPI ARCADIA sugiere arreglen el parque, que vuelvan a poner la tienda y otras sugerencias mas.</t>
  </si>
  <si>
    <t>Usuarias de la UPI ARCADIA sugiere que arreglen el parque, que hagan mas salidas lúdicas y otras sugerencias mas.</t>
  </si>
  <si>
    <t>OFICIO 2016EE336 DE FECHA 4 FEBRERO./2016</t>
  </si>
  <si>
    <t>YAG024</t>
  </si>
  <si>
    <t>2016ER517</t>
  </si>
  <si>
    <t>2016ER518</t>
  </si>
  <si>
    <t>2016ER519</t>
  </si>
  <si>
    <t>2016ER527</t>
  </si>
  <si>
    <t>MALENA CALDERÓN VARGAS</t>
  </si>
  <si>
    <t>CARLOS VILLAMIZAR MARTIN</t>
  </si>
  <si>
    <t>LINA MAIDE ZULUAGA</t>
  </si>
  <si>
    <t>LUZ MARINA BRICEÑO</t>
  </si>
  <si>
    <t>CLARA INÉS VALENZUELA RODRÍGUEZ</t>
  </si>
  <si>
    <t>Usuario de los baños públicos ubicados en el supercade de movilidad presentan reclamo por mal servicio.</t>
  </si>
  <si>
    <t>Madre del joven Cristian Camilo Reina Valenzuela presenta derecho de petición solicitando devolución de pagos de su hijo por fallecimiento.</t>
  </si>
  <si>
    <t>Psicóloga de la UPI SAN FRANCISCO presenta queja en contra de algunos funcionarios de la unidad por maltrato en contra de ella.</t>
  </si>
  <si>
    <t>2016ER539</t>
  </si>
  <si>
    <t>HERNANDO GOMEZ MELO</t>
  </si>
  <si>
    <t>Ex funcionario del Idipron presenta derecho de petición solicitando certificado laboral para tramite de la pensión.</t>
  </si>
  <si>
    <t>OFICIO 2016EE388 DE FECHA 10 FEBRERO./2016</t>
  </si>
  <si>
    <t>AGRADECIMIENTO POR SERVICIOS PRESTADOS</t>
  </si>
  <si>
    <t>2016ER603</t>
  </si>
  <si>
    <t>JORGE EDURADO TORES CAMARGO CONCEJAL DE BOGOTA INTERPONE DERECHO DE PETICION  SOLICITANDO INFORMACION   EN 15 PUNTOS SOBRE BAÑOS PUBLICOS.</t>
  </si>
  <si>
    <t>2016ER656</t>
  </si>
  <si>
    <t>2016ER702</t>
  </si>
  <si>
    <t>2016ER721</t>
  </si>
  <si>
    <t>2016ER780</t>
  </si>
  <si>
    <t>2016ER792</t>
  </si>
  <si>
    <t>2016ER787</t>
  </si>
  <si>
    <t>2016ER839</t>
  </si>
  <si>
    <t>SEÑOR DIRECTOR IDIPRON PADRE WILFREDO GRAJALES. SEÑOR SUBDIRECTOR DEL METODO OPERATIVO IDIPRON ALIRIO PESCA. EL PRESENTE REQUIRIMIENTO ES PARA QUE SE ANALICE LA PERTINENCIA DE LA REUNION SEMANAL DEL COMITE OPERATIVO, QUE SE REALIZA POR INTERNADOS Y EXTERNADOS. ES REALMENTE PERTINENTE REALIZARLA TODOS LAS SEMANAS???? LOS DIRECTORES DEJAN SOLAS LAS UNIDADES DEMASIADO TIEMPO Y POR ESO ES QUE MUCHOS PROCESOS NO FUNCIONAN, MUCHAS DE LAS VECES NI REGRESAN A SUS UNIDADES. ES DE CARACTER NECESARIA ESTAS REUNIONES? POR FAVOR ANALICES ESTO YA QUE EL VERDADERO TRABAJO SE REALIZA ENLAS UPIS Y EN IDIPRON SE SUFRE DE REUNITIS INNECESARIAS QUE SOLO FAVORECEN ES LA PARTE SOCIAL DE LOS EMPLEADOS</t>
  </si>
  <si>
    <t>OFICIO 2016IE1503 DE FECHA 23/2/2016</t>
  </si>
  <si>
    <t>GUILLERMO SANABRIA</t>
  </si>
  <si>
    <t>USUARIO DE LOS BAÑOS PÚBLICOS DEL SUPERCADE DE MOVILIDAD PRESENTA RECLAMO POR EL MAL ESTADO DE LOS MISMOS</t>
  </si>
  <si>
    <t>JOSE MANUEL VERGARA</t>
  </si>
  <si>
    <t>JOSE MANUEL VERGARA INTERPOPNE DERECHO DE PTICION SOLICITANDO PAGO DEL MES DE ENERO .</t>
  </si>
  <si>
    <t>LUZ MARINA QUIROGA</t>
  </si>
  <si>
    <t>DE ACUERDO AL DOCUMENTO ADJUNTO EN MI CONDICIÓN DE DEFENSORA DE FAMILIA DEL CENTRO ESPECIALIZADO EFECTO REANUDAR-CRECER RESPETUOSAMENTE SOLICITO LA POSIBILIDAD DE ORDENAR A QUIEN CORRESPONDA, VINCULAR AL ADOLESCENTE LUIS EDUARDO PALACIOS OBREGON IDENTIFICADO CON C.C 10010028257 DE FLORIDA VALLE YA QUE PERMANECIÓ EN VARIOS DE NUESTROS PROGRAMAS HASTA SU MAYORÍA DE EDAD, MANIFESTANDO VENIR DE LA CIUDAD DE CALI SIN RECURSOS PARA SU SUPERVIVENCIA NI FAMILIA QUE LO APOYE.</t>
  </si>
  <si>
    <t>UENA TARDE, QUISIERA PONER EN CONOCIMIENTO DE UDS QUE LOS CENTRO ESCNNA EXTERNADO NO ESTAN SIENDO DIRIGIDOS O MANEJADOS COMO DEBIERA CON LOS RECURSOS QUE USTEDES DESTINAN PARA LOS NIÑOS, ME GUSTARIA QUE INDAGARAN BIEN QUE HICIERON CON EL PRESUPUESTO DE 2015 SI SE UTILIZO EN LOS NIÑOS, TANTO ES EL DESCONTENTO DEL PERSONAL QUE EN ESTOS DIAS VARIOS HAN RENUNCIADO ..ME GUSTARIA LES PREGUNTARAN PORQUE HA SUCEDIDO ESTO A LOS DIRECTIVOS DE RENACER.. ADICIONAL HA ESTO DEBEN VERIFICAR CUALES SON LAS NORMAS O SI HAY UN TIPO DE REGLAMENTO DE COMPORTAMIENTO EN LOS NIÑOS, QUE PARA LOS FUNCIONARIOS DE RENACER , EL MEJORAR A LOS NIÑOS PARA QUE SEAN UNAS PERSONAS RESPETUOSAS, NO LES CORRESPONDE A ELLOS.. ASI QUE CONSIDERO QUE USTEDES CON UNA INSTITUCION QUE SE ENCARGA DE LOS NIÑOS Y LOS ADOLESCENTES SON LOS QUE DIRECTAMENTE DEBERIAN TOMAR ESE PROYECTO EN SUS MANOS SIN UTILIZAR INTERMEDIARIOS, PUES COMO SUCEDE MUCHAS VECES EL DINERO SE QUEDA EN EL CAMINO Y NO SE INVIERTE REALMENTE PARA LO QUE ESTA DESTINADO..</t>
  </si>
  <si>
    <t>LENNYS ALEXANDRA  MENDEZ ROMERO</t>
  </si>
  <si>
    <t>INTERPONE DERECHO DE PETICION  SOLICITANDO COPIAS DE LAS PLANILLAS DE ASISTENCIA A LAS JORNADAS LABORALES DURANTE EL PERIODO DE VINCULACION.</t>
  </si>
  <si>
    <t>JULIAN MAURICIO SANCHEZ MARIN</t>
  </si>
  <si>
    <t xml:space="preserve">INTERPONE DERECHO DE PETICION SOLICITANDO INFORMACION SOBRE PROCESO ALGUNO EN SU CONTRO POR  QUEJAS D ESTUDIANTES, FUNCIONARIOS Y/O SUPERVISOR. </t>
  </si>
  <si>
    <t>YECID FERNANDO LEYTON ARDILA</t>
  </si>
  <si>
    <t>Este derecho de petición viene trasladado del Ministerio de Salud y Protección Social, donde el peticionario solicita generación de acciones con las entidades distritales dirigidas a niños y niñas que se encuentran en condiciones de indigencia en la zona conocida como el Bronx (ver detalle en el archivo adjunto) es así como el Ministerio de Salud solicita se realice una visita de inspección sanitaria y de reconocimiento y atención integral para el cumplimiento de los derechos de los menores, a su vez se traslada por el SDQS para Secretaria de Integración Social para lo su competencia. Radicado 2016ER11704 del 18/02/2016.</t>
  </si>
  <si>
    <t>SOLICITUD DE INTERVENCION</t>
  </si>
  <si>
    <t>SERGIO CASTILLO</t>
  </si>
  <si>
    <t>SERGIO A CASTILLO INTERPONE QUEJA CONTRA LA FUNCIONARIA ANGELICA APONTE.</t>
  </si>
  <si>
    <t>JOSE JAIR FUENTES FONSECA Y OTROS</t>
  </si>
  <si>
    <t>BENEFICIARIOS DEL PROYECTO MISION BOGOTA INTERPONEN DERECHO DE PETICION EXIGIENDO EL PAGO DE SOSTENIBILIDAD DEL MES DE ENERO DCE 2016</t>
  </si>
  <si>
    <t>JAIRO EDUARDO MANCIPE</t>
  </si>
  <si>
    <t>INTRPONE DERECHO DE EPTICION SOLICITANDO INFORMACION RELACIONADA CON CONOCER HASTA DONDE LLEGAN LAS FUNCIONES DE LOS JOVENES DEMISION BOGOTA, QUE NO LE APOYARON A ATENDER POBLACION LESIONADA LOS DIAS 8 Y 9 DE FEBRERO POR PROTESTAS EN ESTACIONES DE TRANSMILENIO.</t>
  </si>
  <si>
    <t>PEDRO ANTONMIO MARTINEZ</t>
  </si>
  <si>
    <t>EL SEÑOR PEDRO ANTONIO MARTINEZ PEREZ  INTREPONE QUEJA CONTRA EL SEÑOR JOSE DEL CARMEN MOYA GARCES</t>
  </si>
  <si>
    <t>JORGE EDUARDO TORRES</t>
  </si>
  <si>
    <t>DIEGO CELY</t>
  </si>
  <si>
    <t>PROPONE PARA ESTA NUEVA ADMINISTRACION PROGRAMAS DE EDUCACION PARA LOS JOVENES</t>
  </si>
  <si>
    <t>NUESTRA QUEJA ES EN CONTRA DE LA SEÑORITA KAREN LEON DE LA OFICINA JURIDICA, QUIEN ES UNA PERSONA GROSERA, ANTIPATICA, HUMILLANTE Y QUE DISCRIMINA A LA GENTE, SIEMPRE ESTA DE MAL GENIO Y NO LE GUSTA ATENDER A LAS PERSONAS. LES VAMOS A EXPLICAR UN POCO NUESTRA QUEJA NO ENTENDEMOS PORQUE NOS TOCA ESPERAR DIEZ (10) DIAS HABILES PARA QUE NOS DEN UNA CERTIFICACION LABORAL, UNA HOJA DE 5 RENGLONES QUE NI SIQUIERA TIENE UNA FIRMA ORIGINAL PORQUE ESTA ES DIGITAL, QUE ADEMAS NO SE TOMA LA MOLESTIA DE LEER PORQUE MUCHAS VECES NO COLOCA LAS ADICIONES O SUSPENSIONES O CESION O CUALQUIER MODIFICACION QUE HAYAN TENIDO NUESTROS CONTRATOS, LA LLAMA UNO Y NUNCA ESTA ANTES DE LAS 9:00 A.M. VA UNO A PREGUNTARLA Y NO ESTA O NO HA LLEGADO O ESTA DE VISITA CON LOS COMPAÑEROS Y LE PIDEN ATENDER LA GENTE Y SE PONE BRAVA, ADEMAS ESOS 10 DIAS SE CONVIERTEN EN 20 DIAS, POR CULPA DE ESTA SEÑORITA HEMOS PERDIDO OPORTUNIDADES DE TRABAJO PORQUE ES UN DOCUMENTO IMPORTANTE QUE HAY QUE PONERLE CUIDADO. PENSAMOS QUE CON EL CAMBIO DE ADMINISTRACION ESTO IBA A CAMBIAR PERO LA SEÑORITA SE QUEDO EN LA BOGOTA IN-HUMANA. O NO TIENE UN JEFE QUE LE EXIJA QUE HAGA SU TRABAJO COMO DEBE SER. MUY MAL PARA LA OFICINA JURIDICA NIÑA A USTED LE PAGAN POR TRABAJAR, ADEMAS SIEMPRE DICE QUE TIENE MUCHO TRABAJO PERO O NUNCA LLEGA TEMPRANO O ESTA DE PERMISO O DE VACACIONES PERO NUNCA ESTA. DIGANLE AL PADRINO POLITICO QUE TIENE QUE LO ESTA HACIENDO QUEDAR MAL.......</t>
  </si>
  <si>
    <t>YAG025</t>
  </si>
  <si>
    <t>YAG026</t>
  </si>
  <si>
    <t>JULIO CESAR GALÁN</t>
  </si>
  <si>
    <t>JUAN MANUEL BOHORQUEZ</t>
  </si>
  <si>
    <t>Buenas tardes, 
Hace algunos años se radico un derecho de petición al la entidad por daños en la finca de mi familia, personalmente fui a Bogotá para que aclararon como iban a pagar los daños y perjuicios, en donde el perito se apareció muy tarde, ustedes quedaron de pagar esos daños pero no se si lo han hecho.</t>
  </si>
  <si>
    <t>Señores IDIPRON, una consulta, acogiéndome al artículo 23 de la CN: 
1. Si se cambia el destino de los recursos de un proyecto establecidos en el Plan de Desarrollo de una ciudad -y de una entidad como la que hoy dirigen- para darles una destinación diferente. O para recortar el presupuesto en un 50 %. ¿Eso se llama PECULADO POR APROPIACIÓN?
2. Porque están pensando en cerrar, cambiar, recortar y/o ajustar el proyecto de Jóvenes en Paz?
Ni los saludo, ni les doy las gracias. Espero me respondan.</t>
  </si>
  <si>
    <t>OFICIO 2016EE566 DE FECHA 25 FEBRERO./2016</t>
  </si>
  <si>
    <t>OFICIO 2016EE565 DE FECHA 25 FEBRERO./2016</t>
  </si>
  <si>
    <t>OFICIO 2016EE569 DE FECHA 25 FEBRERO./2016</t>
  </si>
  <si>
    <t>OFICIO 2016EE391 DE FECHA 10 FEBRERO./2016</t>
  </si>
  <si>
    <t>OFICIO 2016EE422 DE FECHA 12 FEBRERO./2016</t>
  </si>
  <si>
    <t>OFICIO 2016IE974 DE FECHA 08 FEBRERO./2016</t>
  </si>
  <si>
    <t>OFICIO 2016EE517 DE FECHA 19 FEBRERO./2016</t>
  </si>
  <si>
    <t>OFICIO 2016IE1501 DE FECHA 23 FEBRERO./2016</t>
  </si>
  <si>
    <t>OFICIO 2016IE1502 DE FECHA 23 FEBRERO./2016</t>
  </si>
  <si>
    <t>OFICIO 2016IE1504 DE FECHA 23 FEBRERO./2016</t>
  </si>
  <si>
    <t>OFICIO 2016EE535 DE FECHA 23/2/2016</t>
  </si>
  <si>
    <t>OFICIO 2016EE495 DE FECHA 18 FEBRERO./2016</t>
  </si>
  <si>
    <t>OFICIO 2016EE514 DE FECHA 19 FEBRERO./2016</t>
  </si>
  <si>
    <t>OFICIO 2016EE555 DE FECHA 24 FEBRERO./2016</t>
  </si>
  <si>
    <t>OFICIO 2016EE494 DE FECHA 18 FEBRERO./2016</t>
  </si>
  <si>
    <t>OFICIO 2016EE404 DE FECHA 11 FEBRERO./2016</t>
  </si>
  <si>
    <t>OFICIO 2016EE419 DE FECHA 12 FEBRERO./2016</t>
  </si>
  <si>
    <t>OFICIO 2016EE385 DE FECHA 10 FEBRERO./2016</t>
  </si>
  <si>
    <t>OFICIO 2016EE386 DE FECHA 10 FEBRERO./2016</t>
  </si>
  <si>
    <t>OFICIO 2016EE526 DE FECHA 22 FEBRERO./2016</t>
  </si>
  <si>
    <t>OFICIO 2016EE589 DE FECHA 26 FEBRERO./2016</t>
  </si>
  <si>
    <t>OFICIO 2016EE549 DE FECHA 23 FEBRERO./2016</t>
  </si>
  <si>
    <t>TEMAS ADMINISTRATIVOS CONVENIOS</t>
  </si>
  <si>
    <t>OFICIO 2016EE615 DE FECHA 01 MARZO./2016</t>
  </si>
  <si>
    <t>OFICIO 2016EE616 DE FECHA 01 MARZO./2016</t>
  </si>
  <si>
    <t>OFICIO 2016EE617 DE FECHA 01 MARZO./2016</t>
  </si>
  <si>
    <t>OFICIO 2016EE631 DE FECHA 02 MARZO./2016</t>
  </si>
  <si>
    <t>JUAN PABLO SAENZ NINO</t>
  </si>
  <si>
    <t>INTERPONE DERECHO DE PETIICON SOLICITANDO UNA VISITA  PARA EVALUAR LAS REPARACIONES NECESARIAS POR CAMBIO DE ANDENES DE LA CALLE 95 REALIZADO POR LA J.A.C. BARRIOLA CASTELLANA E IDIPRON.</t>
  </si>
  <si>
    <t>PROCEDENTE DE LA RED DE CONTROL SOCIAL - APOYO A VEEDURIAS EL CIUDADANOA SOLICITA: 1.DISTRIBUIR EN TODAS LAS OFICINAS DE PLANEACION, DE CONTROL INTERNO Y DE TICS EN LA ENTIDADES DISTRITALES INCLUIDO EL CONCEJO DE BOGOTA LA RESPUESTA DE LA DIRECTORA DE CONTROL INTERNO DE RACIONALIZACION DE TRAMITES DEL DAFP (VER ANEXO), SE SOLICITA DAR ACUSE DE RECIBO UNA VEZ SE HAYA REVISADO EL DOCUMENTO Y 2. SE SOLICITA QUE TODOS LOS RESPONSABLES DE LAS OFICINAS DE COMUNICACION CON APOYO DE LOS RESPONSABLES DE GOBIERNO Y EN LINEA, PLANEACION Y GOBIERNO ABIERTO CONVOQUEN VIA MEDIOS DIGITALES , TICS, CANAL CAPITAL LA PARTICIPACION PARA LA CONSTRUCCION DE PROPUESTAS DE MENSAJES Y EL DISEÑO PARTICIPATIVO DE LOS MENSAJES EN TEMAS DE ESPACIO PUBLICO, AMBIENTE Y MORALIDAD ADTIVA.</t>
  </si>
  <si>
    <t>MARIA DEL PILAR CORTES MUÑOZ</t>
  </si>
  <si>
    <t>PRESENTAS DERECHO DE PETIICION SOLIITANDO MODIFICAR LA EXPEDICION DE LOS CERTIFICADOS DE INFORMACION LANORAL CON DESTINO A EMISION DE BONO PENSIONAL</t>
  </si>
  <si>
    <t>2016ER910</t>
  </si>
  <si>
    <t>2016ER914</t>
  </si>
  <si>
    <t>OFICIO 2016EE590 DE FECHA 26 FEBRERO./2016</t>
  </si>
  <si>
    <t>OFICIO 2016EE643 DE FECHA 03 MARZO./2016</t>
  </si>
  <si>
    <t>OFICIO 2016EE642 DE FECHA 03 MARZO./2016</t>
  </si>
  <si>
    <t>2016ER977</t>
  </si>
  <si>
    <t>2016ER978</t>
  </si>
  <si>
    <t>HÉCTOR ALONSO MUÑOZ VEGA</t>
  </si>
  <si>
    <t>El señor Carlos solicita mediante derecho de petición reintegro al programa misión Bogotá.</t>
  </si>
  <si>
    <t>El señor Héctor solicita mediante derecho de petición reintegro al programa misión Bogotá.</t>
  </si>
  <si>
    <t>CARLOS DAVID CHAVES GUTIERREZ</t>
  </si>
  <si>
    <t>2016ER999</t>
  </si>
  <si>
    <t>WILMER ANTONIO AVILA</t>
  </si>
  <si>
    <t>INTERPONE D.P  SOLICITANDO REINTEGRO AL TRABAJO</t>
  </si>
  <si>
    <t>DIEGO STEVE GARCIA</t>
  </si>
  <si>
    <t xml:space="preserve"> ADOLFO LEON REY DE  PERSONERIA DE BOGOTA TRASLADA SOLICITUD DEL SEÑOR DIEGO STEVE GARCIA GARCI</t>
  </si>
  <si>
    <t>YAG027</t>
  </si>
  <si>
    <t>YAG028</t>
  </si>
  <si>
    <t>YAG029</t>
  </si>
  <si>
    <t>YAG030</t>
  </si>
  <si>
    <t>LEYDER LONDOÑO</t>
  </si>
  <si>
    <t>YORK ERICSON AGUILAR  GOMEZ</t>
  </si>
  <si>
    <t>JAVIER MARTINEZ</t>
  </si>
  <si>
    <t>LORENA RINCON</t>
  </si>
  <si>
    <t>OFICIO 2016EE681 DE FECHA 08 MARZO./2016</t>
  </si>
  <si>
    <t>OFICIO 2016EE640 DE FECHA 03 MARZO./2016</t>
  </si>
  <si>
    <t>OFICIO 2016EE682 DE FECHA 08 MARZO./2016</t>
  </si>
  <si>
    <t>OFICIO 2016EE692 DE FECHA 09 MARZO./2016</t>
  </si>
  <si>
    <t>OFICIO 2016EE691 DE FECHA 09 MARZO./2016</t>
  </si>
  <si>
    <t>OFICIO 2016EE707 DE FECHA 11 MARZO./2016</t>
  </si>
  <si>
    <t>OFICIO 2016EE608 DE FECHA 29 FEBRERO./2016</t>
  </si>
  <si>
    <t>OFICIO 2016EE651 DE FECHA 03 MARZO./2016</t>
  </si>
  <si>
    <t>YAG031</t>
  </si>
  <si>
    <t>YAG032</t>
  </si>
  <si>
    <t>YAG033</t>
  </si>
  <si>
    <t>MAGALI INGRID GARZON</t>
  </si>
  <si>
    <t>CAROL M.</t>
  </si>
  <si>
    <t>ANGELA CAROLINA CRUZ GARZON</t>
  </si>
  <si>
    <t>Usuaria de la UPI ARCADIA sugiere que arreglen el parque, también algunos arreglos de la unidad y algunas salidas pedagógicas.</t>
  </si>
  <si>
    <t xml:space="preserve">Usuaria de la UPI ARCADIA sugiere que arreglen los talleres y otros arreglos de la unidad </t>
  </si>
  <si>
    <t>Usuaria de la UPI ARCADIA sugiere que las dejen ver mas películas, unas salidas pedagógicas y otras sugerencias mas.</t>
  </si>
  <si>
    <t xml:space="preserve">Usuaria de la UPI ESCNNA solicita que la cambien de unidad y que sean mas amplios los espacios. </t>
  </si>
  <si>
    <t>Usuaria de la UPI CAAJJ sugiere mas materiales para el taller de maderas tales como: pinturas, madera, etc.</t>
  </si>
  <si>
    <t>Usuaria de la UPI CAAJJ sugiere vuelvan abrir el taller de cerámicas ya que se encuentra el espacio pero no esta el profesor.</t>
  </si>
  <si>
    <t>Usuaria de la UPI PERDOMO sugiere que vuelvan a otorgar los convenios para los estudiantes ya que desde noviembre los quitaron.</t>
  </si>
  <si>
    <t>OFICIO 2016EE717  DE FECHA 11 MARZO./2016</t>
  </si>
  <si>
    <t>2016ER1097</t>
  </si>
  <si>
    <t>2016ER1096</t>
  </si>
  <si>
    <t>YAG034</t>
  </si>
  <si>
    <t>YAG035</t>
  </si>
  <si>
    <t>YAG036</t>
  </si>
  <si>
    <t>YAG037</t>
  </si>
  <si>
    <t>YAG038</t>
  </si>
  <si>
    <t>YAG039</t>
  </si>
  <si>
    <t>YAG040</t>
  </si>
  <si>
    <t>CUANDO SE EFECTUAN LOS PAGOS DE SUBSIDIO A LOS JOVENES DEL PROYECTO JOVENES EN PAZ??</t>
  </si>
  <si>
    <t>VICTOR ALFONSO HERNANDEZ</t>
  </si>
  <si>
    <t xml:space="preserve">GUIA DE MISION BOGOTA PRESENTA INFORME SOBRE ABUSO DE AUTORIDAD POR PATRULLEROS DE ESTACION DE TRANSMILENIO DONDE SE ENCONTRABA EN HORARIO DE INTERVENCION.                                                                                                                                                                                                                                                                                                                                                                                                                                                                                                                                                                                                                                                                                                                                                                                                                                                                                                                                                                                                                                                                                                                                                                                                                                                                      </t>
  </si>
  <si>
    <t>JOHANA ANDREA PEÑA</t>
  </si>
  <si>
    <t>ANDRES BUITRAGO PINEDA</t>
  </si>
  <si>
    <t xml:space="preserve"> Y OTROS BENEFICIARIOS DE UPI BOSA SIGUEREN QUE LA SEÑORA JEFE DE LA COCINA CONTINUE EN EL PROCE3SO</t>
  </si>
  <si>
    <t>BENEFICIARIO ANONIMO DE COMEDOR USME  SUGIEREN QUE LAS VERDURAS SEAN PREPARAS CON MAS SAZON PARA QUE LOS NIÑOS LAS CONSUMAN MAS  FACILMENTE.</t>
  </si>
  <si>
    <t>ALIMENTACIÓN</t>
  </si>
  <si>
    <t>OFICIO 2016EE792 MARZO 18 DE 2013</t>
  </si>
  <si>
    <t>BENEFICIARIO ANONIMO DE COMEDOR USME  AGRADECE LOS SERVICIOS DEL COMEDOR  Y SUGIEREN MAS COLABORACION DE LOS BENEFICIARIOS PARA NO PEDER MAS CUPOS.</t>
  </si>
  <si>
    <t>OFICIO 2016EE791 DE MARZO 18 DE 2016</t>
  </si>
  <si>
    <t>ANGELA LEON</t>
  </si>
  <si>
    <t>DE UPI LA 27 RECLAMA POR LA FALTA DE PROFESORES</t>
  </si>
  <si>
    <t>DE UPI LA 27  SOLICITA UN PROFESOR DE JU-JITSU Y JUDO</t>
  </si>
  <si>
    <t>LADY DAYANA PARRADO</t>
  </si>
  <si>
    <t>DE UPI LA 27  SOLICITA UN PROFESORES DE JU-JITSU, JUDO Y PERCUCION, ASI COMO SOLICITA LES ENVIEN UTILES ESCOLARES</t>
  </si>
  <si>
    <t>AURA CRISTINA ROCHA</t>
  </si>
  <si>
    <t>AGRADECE  Y SOLICITA CONTRATEN PROFESORES</t>
  </si>
  <si>
    <t>2016ER1154</t>
  </si>
  <si>
    <t>SERGIO A CASTILLO INTERPONE DERECHO DE PETICIÓN INFORMANDO LA NO CONFORMIDAD POR LA RESPUESTA DADA EN EL REQUERIMIENTO 322152016</t>
  </si>
  <si>
    <t>OFICIO 2016IE2418 DE FECHA 18 MARZO./2016</t>
  </si>
  <si>
    <t>OFICIO 2016EE780 DE FECHA 17 MARZO./2016</t>
  </si>
  <si>
    <t>OFICIO 2016EE768 DE FECHA 17 MARZO./2016</t>
  </si>
  <si>
    <t>OFICIO 2016EE741 DE FECHA 15 MARZO./2016</t>
  </si>
  <si>
    <t>201ER1174</t>
  </si>
  <si>
    <t>NATALIA MARLEN CARRION BONIFACIO</t>
  </si>
  <si>
    <t>Estudiantes de la ESAP presenta derecho de petición solicitando información sobro programas del Idipron.</t>
  </si>
  <si>
    <t>ANÓNIMO</t>
  </si>
  <si>
    <t>2016ER1217</t>
  </si>
  <si>
    <t>JAIME ALEXANDER CAMARGO</t>
  </si>
  <si>
    <t>Presenta derecho de petición para determinar la duración en tiempo de la sanción en el RUP a la empresa INCTEC</t>
  </si>
  <si>
    <t>OFICIO 2016EE773 DE FECHA 17 MARZO./2016</t>
  </si>
  <si>
    <t>2016ER1222</t>
  </si>
  <si>
    <t>2016ER1223</t>
  </si>
  <si>
    <t>2016ER1224</t>
  </si>
  <si>
    <t>2016ER1225</t>
  </si>
  <si>
    <t>ÓSCAR MAURICIO BUITRAGO MARTÍNEZ</t>
  </si>
  <si>
    <t>Presenta derecho de petición solicitando información de centros cerrados anteriormente.</t>
  </si>
  <si>
    <t>Presenta derecho de petición solicitando información de actas de reuniones en los años 2008 y 2009.</t>
  </si>
  <si>
    <t>Presenta derecho de petición solicitando información de los balances en los años 2008 y 2009.</t>
  </si>
  <si>
    <t>OFICIO 2016EE830 DE FECHA 29 MARZO./2016</t>
  </si>
  <si>
    <t>OFICIO 2016IE2375 DE FECHA 17 MARZO./2016</t>
  </si>
  <si>
    <t>BUENOS DIAS, MI INCONFORMIDAD RADICA EN LA MALA ATENCION AL USUARIO POR PARTE DE LA FUNCIONARIA DE CONTABILIDAD Y TESORERIA GABRIELA, DE LA ENTIDAD IDIPRON, QUIEN ES MUY GROSERA PORQUE LE PIDAN INFORMACION DE PAGOS PENDIENTES Y SE NOTA QUE NO SABE NADA DE COMOP DAR INFORMACION AMABLEMENTE. OJALA LA ADMINISTRACION TOME EN CUENTA ESTE TIPO DE QUEJAS Y CONTRATEN PERSONAL CAPACITADO Y AMABLE..</t>
  </si>
  <si>
    <t>OFICIO 2016EE826 DE FECHA 29 MARZO./2016</t>
  </si>
  <si>
    <t>OFICIO 2016EE825 DE FECHA 29 MARZO./2016</t>
  </si>
  <si>
    <t>OFICIO 2016EE827 DE FECHA 29 MARZO./2016</t>
  </si>
  <si>
    <t>OFICIO 2016IE2597 DE FECHA 30 MARZO./2016</t>
  </si>
  <si>
    <t>OFICIO 2016IE2598 DE FECHA 30 MARZO./2016</t>
  </si>
  <si>
    <t>OFICIO 2016IE2599 DE FECHA 30 MARZO./2016</t>
  </si>
  <si>
    <t>OFICIO 2016IE2600 DE FECHA 30 MARZO./2016</t>
  </si>
  <si>
    <t>OFICIO 2016IE2594 DE FECHA 30 MARZO./2016</t>
  </si>
  <si>
    <t>OFICIO 2016IE2592 DE MARZO 30 DE 2016</t>
  </si>
  <si>
    <t>OFICIO 2016IE2595 DE MARZO 30 DE 2016</t>
  </si>
  <si>
    <t>OFICIO 2016IE2593 DE MARZO 30 DE 2016</t>
  </si>
  <si>
    <t>OFICIO 2016IE2596 DE MARZO 30 DE 2016</t>
  </si>
  <si>
    <t>OFICIO 2016EE838 DE MARZO 30 DE 2016</t>
  </si>
  <si>
    <t>OFICIO 2016EE839 DE FECHA 30 MARZO./2016</t>
  </si>
  <si>
    <t>OFICIO 2016EE863 DE FECHA 01 ABRIL./2016</t>
  </si>
  <si>
    <t>OFICIO 2016EE861 DE FECHA 01 ABRIL./2016</t>
  </si>
  <si>
    <t>OFICIO 2016EE941 DE FECHA 07 ABRIL./2016</t>
  </si>
  <si>
    <t>OFICIO 2016EE906 DE FECHA 05 ABRIL./2016</t>
  </si>
  <si>
    <t>Etiquetas de fila</t>
  </si>
  <si>
    <t>Total general</t>
  </si>
  <si>
    <t>Cuenta de TIPO REQ.</t>
  </si>
  <si>
    <t>Etiquetas de columna</t>
  </si>
  <si>
    <t>ene</t>
  </si>
  <si>
    <t>feb</t>
  </si>
  <si>
    <t>mar</t>
  </si>
  <si>
    <t>Dentro de terminos</t>
  </si>
  <si>
    <t>En Tramite</t>
  </si>
  <si>
    <t>Fuera de terminos</t>
  </si>
  <si>
    <t>REQUERIMIENTOS PRIMER TRIMESTRE 2016</t>
  </si>
  <si>
    <t>ENE.</t>
  </si>
  <si>
    <t>FEB.</t>
  </si>
  <si>
    <t>MAR.</t>
  </si>
  <si>
    <t>Participacion</t>
  </si>
  <si>
    <t>Ene.</t>
  </si>
  <si>
    <t>Feb.</t>
  </si>
  <si>
    <t>Mar.</t>
  </si>
  <si>
    <t>Cuenta de CLASIFICADO A</t>
  </si>
  <si>
    <t>REQUERIMIENTOS POR DEPENDENCIA I. TRIMESTRE 2016</t>
  </si>
  <si>
    <t>REQUERIMIENTOS SUB- METODOS I. TRIMESTRE 2016</t>
  </si>
  <si>
    <t>OFICIO 2016EE995 DE ABRIL 12 DE 2016</t>
  </si>
  <si>
    <t>Cuenta de RANGOS DE CONTESTACION</t>
  </si>
  <si>
    <t>REQUERIMIENTOS OPORTUNIDAD DE RESPUESTA  I. TRIMESTRE 2016</t>
  </si>
  <si>
    <t>OICIO 2016EE0908 DE ABRIL 8 DE 2016</t>
  </si>
  <si>
    <t>OICIO 2016EE0958 DE ABRIL 8 DE 2016</t>
  </si>
  <si>
    <t>OICIO 2016EE0952 DE ABRIL 6 DE 2016</t>
  </si>
  <si>
    <t xml:space="preserve"> </t>
  </si>
  <si>
    <t>OFICIO 2016EE1051 DE ABRIL 18 DE 2016</t>
  </si>
  <si>
    <t>OFICIO 2016EE1049 DE FECHA 18 ABRIL./2016</t>
  </si>
  <si>
    <t xml:space="preserve">       Fuera de términos
       Ultimo día
       Dentro de términos</t>
  </si>
  <si>
    <t>OFICIO 2016EE995 DE FECHA 12 ABRIL./2016</t>
  </si>
  <si>
    <t>OFICIO 2016EE952 DE FECHA 08 ABRIL./2016</t>
  </si>
  <si>
    <t>OFICIO 2016EE908 DE FECHA 06 ABRIL./2016</t>
  </si>
  <si>
    <t>OFICIO 2016EE958 DE FECHA 08 ABRIL./2016</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</si>
</sst>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8"/>
      <color indexed="8"/>
      <name val="Arial"/>
      <family val="2"/>
    </font>
    <font>
      <b/>
      <sz val="8"/>
      <color indexed="8"/>
      <name val="Arial"/>
      <family val="2"/>
    </font>
    <font>
      <sz val="11"/>
      <color indexed="8"/>
      <name val="Times New Roman"/>
      <family val="1"/>
    </font>
    <font>
      <sz val="11"/>
      <color theme="1"/>
      <name val="Times New Roman"/>
      <family val="1"/>
    </font>
    <font>
      <b/>
      <sz val="11"/>
      <color indexed="8"/>
      <name val="Times New Roman"/>
      <family val="1"/>
    </font>
    <font>
      <sz val="14"/>
      <color indexed="8"/>
      <name val="Times New Roman"/>
      <family val="1"/>
    </font>
    <font>
      <sz val="18"/>
      <color indexed="8"/>
      <name val="Times New Roman"/>
      <family val="1"/>
    </font>
    <font>
      <b/>
      <sz val="10"/>
      <name val="Arial"/>
      <family val="2"/>
    </font>
    <font>
      <sz val="11"/>
      <color theme="0"/>
      <name val="Calibri"/>
      <family val="2"/>
      <scheme val="minor"/>
    </font>
    <font>
      <b/>
      <sz val="11"/>
      <color theme="1"/>
      <name val="Calibri"/>
      <family val="2"/>
      <scheme val="minor"/>
    </font>
    <font>
      <b/>
      <sz val="10"/>
      <color indexed="8"/>
      <name val="Arial"/>
      <family val="2"/>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79998168889431442"/>
        <bgColor theme="4" tint="0.79998168889431442"/>
      </patternFill>
    </fill>
    <fill>
      <patternFill patternType="solid">
        <fgColor theme="0"/>
        <bgColor theme="4" tint="0.79998168889431442"/>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theme="4" tint="0.39997558519241921"/>
      </top>
      <bottom style="medium">
        <color indexed="64"/>
      </bottom>
      <diagonal/>
    </border>
  </borders>
  <cellStyleXfs count="1">
    <xf numFmtId="0" fontId="0" fillId="0" borderId="0"/>
  </cellStyleXfs>
  <cellXfs count="179">
    <xf numFmtId="0" fontId="0" fillId="0" borderId="0" xfId="0"/>
    <xf numFmtId="0" fontId="2" fillId="3" borderId="1" xfId="0" applyFont="1" applyFill="1" applyBorder="1" applyAlignment="1">
      <alignment horizontal="center" vertical="center" wrapText="1"/>
    </xf>
    <xf numFmtId="14" fontId="0" fillId="0" borderId="1" xfId="0" applyNumberFormat="1" applyBorder="1" applyAlignment="1">
      <alignment horizontal="center" vertical="center"/>
    </xf>
    <xf numFmtId="0" fontId="5" fillId="3" borderId="1"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0" fillId="0" borderId="0" xfId="0" applyFill="1"/>
    <xf numFmtId="0" fontId="3" fillId="0" borderId="0" xfId="0" applyFont="1" applyFill="1" applyBorder="1" applyAlignment="1">
      <alignment horizontal="center" vertical="center" wrapText="1"/>
    </xf>
    <xf numFmtId="0" fontId="0" fillId="0" borderId="0" xfId="0" applyAlignment="1">
      <alignment wrapText="1"/>
    </xf>
    <xf numFmtId="0" fontId="8" fillId="2" borderId="1"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9" fillId="0" borderId="0" xfId="0" applyFont="1"/>
    <xf numFmtId="0" fontId="4" fillId="0" borderId="1" xfId="0" applyFont="1" applyFill="1" applyBorder="1" applyAlignment="1">
      <alignment horizontal="center" vertical="center" wrapText="1"/>
    </xf>
    <xf numFmtId="15" fontId="3"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NumberFormat="1"/>
    <xf numFmtId="15" fontId="0" fillId="0" borderId="0" xfId="0" applyNumberFormat="1"/>
    <xf numFmtId="0" fontId="0" fillId="0" borderId="0" xfId="0" applyAlignment="1">
      <alignment horizontal="left" indent="1"/>
    </xf>
    <xf numFmtId="0" fontId="4" fillId="0" borderId="0" xfId="0" applyFont="1" applyFill="1" applyBorder="1" applyAlignment="1">
      <alignment horizontal="center" vertical="center" wrapText="1"/>
    </xf>
    <xf numFmtId="15" fontId="3" fillId="0" borderId="0" xfId="0" applyNumberFormat="1" applyFont="1" applyFill="1" applyBorder="1" applyAlignment="1">
      <alignment horizontal="center" vertical="center" wrapText="1"/>
    </xf>
    <xf numFmtId="1" fontId="3" fillId="0" borderId="0" xfId="0" applyNumberFormat="1" applyFont="1" applyFill="1" applyBorder="1" applyAlignment="1">
      <alignment horizontal="center" vertical="center" wrapText="1"/>
    </xf>
    <xf numFmtId="0" fontId="0" fillId="4" borderId="19" xfId="0" applyFill="1" applyBorder="1"/>
    <xf numFmtId="0" fontId="0" fillId="0" borderId="0" xfId="0" applyNumberFormat="1" applyBorder="1" applyAlignment="1">
      <alignment horizontal="center" vertical="center"/>
    </xf>
    <xf numFmtId="10" fontId="0" fillId="0" borderId="19" xfId="0" applyNumberFormat="1" applyBorder="1" applyAlignment="1">
      <alignment horizontal="center" vertical="center"/>
    </xf>
    <xf numFmtId="0" fontId="10" fillId="4" borderId="20" xfId="0" applyFont="1" applyFill="1" applyBorder="1"/>
    <xf numFmtId="0" fontId="10" fillId="4" borderId="21" xfId="0" applyFont="1" applyFill="1" applyBorder="1"/>
    <xf numFmtId="0" fontId="10" fillId="4" borderId="22" xfId="0" applyFont="1" applyFill="1" applyBorder="1"/>
    <xf numFmtId="0" fontId="0" fillId="0" borderId="24" xfId="0" applyNumberFormat="1" applyBorder="1" applyAlignment="1">
      <alignment horizontal="center" vertical="center"/>
    </xf>
    <xf numFmtId="10" fontId="10" fillId="4" borderId="25" xfId="0" applyNumberFormat="1" applyFont="1" applyFill="1" applyBorder="1" applyAlignment="1">
      <alignment horizontal="center" vertical="center"/>
    </xf>
    <xf numFmtId="0" fontId="0" fillId="0" borderId="18" xfId="0" pivotButton="1" applyBorder="1"/>
    <xf numFmtId="0" fontId="0" fillId="0" borderId="19" xfId="0" applyBorder="1"/>
    <xf numFmtId="0" fontId="0" fillId="0" borderId="18" xfId="0" applyBorder="1" applyAlignment="1">
      <alignment horizontal="left" indent="1"/>
    </xf>
    <xf numFmtId="0" fontId="0" fillId="0" borderId="0" xfId="0" applyNumberFormat="1" applyBorder="1" applyAlignment="1">
      <alignment horizontal="center"/>
    </xf>
    <xf numFmtId="0" fontId="0" fillId="0" borderId="15" xfId="0" pivotButton="1" applyBorder="1"/>
    <xf numFmtId="0" fontId="0" fillId="0" borderId="16" xfId="0" pivotButton="1" applyBorder="1"/>
    <xf numFmtId="0" fontId="0" fillId="0" borderId="16" xfId="0" applyBorder="1"/>
    <xf numFmtId="0" fontId="0" fillId="0" borderId="17" xfId="0" applyBorder="1"/>
    <xf numFmtId="0" fontId="0" fillId="0" borderId="18" xfId="0" applyNumberFormat="1" applyBorder="1" applyAlignment="1">
      <alignment horizontal="center"/>
    </xf>
    <xf numFmtId="0" fontId="0" fillId="5" borderId="26" xfId="0" applyFill="1" applyBorder="1" applyAlignment="1">
      <alignment horizontal="left"/>
    </xf>
    <xf numFmtId="0" fontId="0" fillId="0" borderId="26" xfId="0" applyBorder="1" applyAlignment="1">
      <alignment horizontal="left"/>
    </xf>
    <xf numFmtId="15" fontId="0" fillId="0" borderId="23" xfId="0" applyNumberFormat="1" applyBorder="1"/>
    <xf numFmtId="15" fontId="0" fillId="0" borderId="24" xfId="0" applyNumberFormat="1" applyBorder="1"/>
    <xf numFmtId="15" fontId="0" fillId="0" borderId="25" xfId="0" applyNumberFormat="1" applyBorder="1"/>
    <xf numFmtId="15" fontId="0" fillId="0" borderId="26" xfId="0" applyNumberFormat="1" applyBorder="1"/>
    <xf numFmtId="9" fontId="10" fillId="2" borderId="19" xfId="0" applyNumberFormat="1" applyFont="1" applyFill="1" applyBorder="1" applyAlignment="1">
      <alignment horizontal="center"/>
    </xf>
    <xf numFmtId="9" fontId="0" fillId="2" borderId="19" xfId="0" applyNumberFormat="1" applyFont="1" applyFill="1" applyBorder="1" applyAlignment="1">
      <alignment horizontal="center"/>
    </xf>
    <xf numFmtId="9" fontId="0" fillId="2" borderId="19" xfId="0" applyNumberFormat="1" applyFill="1" applyBorder="1" applyAlignment="1">
      <alignment horizontal="center"/>
    </xf>
    <xf numFmtId="0" fontId="0" fillId="0" borderId="23" xfId="0" applyNumberFormat="1" applyBorder="1" applyAlignment="1">
      <alignment horizontal="center"/>
    </xf>
    <xf numFmtId="0" fontId="0" fillId="0" borderId="24" xfId="0" applyNumberFormat="1" applyBorder="1" applyAlignment="1">
      <alignment horizontal="center"/>
    </xf>
    <xf numFmtId="0" fontId="0" fillId="0" borderId="25" xfId="0" applyNumberFormat="1" applyBorder="1" applyAlignment="1">
      <alignment horizontal="center"/>
    </xf>
    <xf numFmtId="9" fontId="10" fillId="4" borderId="25" xfId="0" applyNumberFormat="1" applyFont="1" applyFill="1" applyBorder="1" applyAlignment="1">
      <alignment horizontal="center"/>
    </xf>
    <xf numFmtId="0" fontId="0" fillId="2" borderId="27" xfId="0" applyFill="1" applyBorder="1" applyAlignment="1">
      <alignment horizontal="left"/>
    </xf>
    <xf numFmtId="0" fontId="0" fillId="2" borderId="15" xfId="0" applyNumberFormat="1" applyFill="1" applyBorder="1" applyAlignment="1">
      <alignment horizontal="center"/>
    </xf>
    <xf numFmtId="0" fontId="0" fillId="2" borderId="16" xfId="0" applyNumberFormat="1" applyFill="1" applyBorder="1" applyAlignment="1">
      <alignment horizontal="center"/>
    </xf>
    <xf numFmtId="0" fontId="0" fillId="2" borderId="17" xfId="0" applyNumberFormat="1" applyFill="1" applyBorder="1" applyAlignment="1">
      <alignment horizontal="center"/>
    </xf>
    <xf numFmtId="0" fontId="0" fillId="2" borderId="28" xfId="0" applyFill="1" applyBorder="1" applyAlignment="1">
      <alignment horizontal="left"/>
    </xf>
    <xf numFmtId="0" fontId="0" fillId="2" borderId="18" xfId="0" applyNumberFormat="1" applyFill="1" applyBorder="1" applyAlignment="1">
      <alignment horizontal="center"/>
    </xf>
    <xf numFmtId="0" fontId="0" fillId="2" borderId="0" xfId="0" applyNumberFormat="1" applyFill="1" applyBorder="1" applyAlignment="1">
      <alignment horizontal="center"/>
    </xf>
    <xf numFmtId="0" fontId="0" fillId="2" borderId="19" xfId="0" applyNumberFormat="1" applyFill="1" applyBorder="1" applyAlignment="1">
      <alignment horizontal="center"/>
    </xf>
    <xf numFmtId="0" fontId="0" fillId="2" borderId="29" xfId="0" applyFill="1" applyBorder="1" applyAlignment="1">
      <alignment horizontal="left"/>
    </xf>
    <xf numFmtId="0" fontId="0" fillId="0" borderId="15" xfId="0" applyNumberFormat="1" applyBorder="1" applyAlignment="1">
      <alignment horizontal="center" vertical="center"/>
    </xf>
    <xf numFmtId="0" fontId="0" fillId="0" borderId="16" xfId="0" applyNumberFormat="1" applyBorder="1" applyAlignment="1">
      <alignment horizontal="center" vertical="center"/>
    </xf>
    <xf numFmtId="0" fontId="0" fillId="0" borderId="18" xfId="0" applyNumberFormat="1" applyBorder="1" applyAlignment="1">
      <alignment horizontal="center" vertical="center"/>
    </xf>
    <xf numFmtId="0" fontId="0" fillId="0" borderId="27" xfId="0" applyBorder="1" applyAlignment="1">
      <alignment horizontal="left"/>
    </xf>
    <xf numFmtId="0" fontId="0" fillId="0" borderId="28" xfId="0" applyBorder="1" applyAlignment="1">
      <alignment horizontal="left"/>
    </xf>
    <xf numFmtId="0" fontId="0" fillId="0" borderId="29" xfId="0" applyBorder="1" applyAlignment="1">
      <alignment horizontal="left"/>
    </xf>
    <xf numFmtId="0" fontId="0" fillId="0" borderId="23" xfId="0" applyNumberFormat="1" applyBorder="1" applyAlignment="1">
      <alignment horizontal="center" vertical="center"/>
    </xf>
    <xf numFmtId="0" fontId="0" fillId="4" borderId="26" xfId="0" applyFill="1" applyBorder="1" applyAlignment="1">
      <alignment horizontal="left"/>
    </xf>
    <xf numFmtId="0" fontId="0" fillId="0" borderId="27" xfId="0" applyBorder="1"/>
    <xf numFmtId="0" fontId="0" fillId="0" borderId="28" xfId="0" applyBorder="1"/>
    <xf numFmtId="9" fontId="0" fillId="2" borderId="28" xfId="0" applyNumberFormat="1" applyFont="1" applyFill="1" applyBorder="1" applyAlignment="1">
      <alignment horizontal="center"/>
    </xf>
    <xf numFmtId="0" fontId="0" fillId="5" borderId="23" xfId="0" applyNumberFormat="1" applyFill="1" applyBorder="1" applyAlignment="1">
      <alignment horizontal="center"/>
    </xf>
    <xf numFmtId="0" fontId="0" fillId="5" borderId="24" xfId="0" applyNumberFormat="1" applyFill="1" applyBorder="1" applyAlignment="1">
      <alignment horizontal="center"/>
    </xf>
    <xf numFmtId="9" fontId="10" fillId="5" borderId="26" xfId="0" applyNumberFormat="1" applyFont="1" applyFill="1" applyBorder="1" applyAlignment="1">
      <alignment horizontal="center"/>
    </xf>
    <xf numFmtId="9" fontId="10" fillId="4" borderId="26" xfId="0" applyNumberFormat="1" applyFont="1" applyFill="1" applyBorder="1" applyAlignment="1">
      <alignment horizontal="center"/>
    </xf>
    <xf numFmtId="0" fontId="0" fillId="5" borderId="26" xfId="0" applyNumberFormat="1" applyFill="1" applyBorder="1" applyAlignment="1">
      <alignment horizontal="center"/>
    </xf>
    <xf numFmtId="0" fontId="0" fillId="0" borderId="28" xfId="0" applyNumberFormat="1" applyBorder="1" applyAlignment="1">
      <alignment horizontal="center"/>
    </xf>
    <xf numFmtId="0" fontId="0" fillId="0" borderId="26" xfId="0" applyNumberFormat="1" applyBorder="1" applyAlignment="1">
      <alignment horizontal="center"/>
    </xf>
    <xf numFmtId="0" fontId="0" fillId="4" borderId="23" xfId="0" applyNumberFormat="1" applyFill="1" applyBorder="1" applyAlignment="1">
      <alignment horizontal="center"/>
    </xf>
    <xf numFmtId="0" fontId="0" fillId="4" borderId="24" xfId="0" applyNumberFormat="1" applyFill="1" applyBorder="1" applyAlignment="1">
      <alignment horizontal="center"/>
    </xf>
    <xf numFmtId="0" fontId="0" fillId="4" borderId="26" xfId="0" applyNumberFormat="1" applyFill="1" applyBorder="1" applyAlignment="1">
      <alignment horizontal="center"/>
    </xf>
    <xf numFmtId="10" fontId="0" fillId="0" borderId="28" xfId="0" applyNumberFormat="1" applyBorder="1" applyAlignment="1">
      <alignment horizontal="center"/>
    </xf>
    <xf numFmtId="10" fontId="0" fillId="0" borderId="28" xfId="0" applyNumberFormat="1" applyFont="1" applyBorder="1" applyAlignment="1">
      <alignment horizontal="center"/>
    </xf>
    <xf numFmtId="10" fontId="0" fillId="0" borderId="29" xfId="0" applyNumberFormat="1" applyBorder="1" applyAlignment="1">
      <alignment horizontal="center"/>
    </xf>
    <xf numFmtId="10" fontId="0" fillId="2" borderId="28" xfId="0" applyNumberFormat="1" applyFont="1" applyFill="1" applyBorder="1" applyAlignment="1">
      <alignment horizontal="center"/>
    </xf>
    <xf numFmtId="0" fontId="0" fillId="0" borderId="18" xfId="0" applyBorder="1" applyAlignment="1">
      <alignment horizontal="left"/>
    </xf>
    <xf numFmtId="0" fontId="0" fillId="0" borderId="20" xfId="0" applyBorder="1" applyAlignment="1">
      <alignment horizontal="left"/>
    </xf>
    <xf numFmtId="0" fontId="0" fillId="0" borderId="27" xfId="0" applyNumberFormat="1" applyBorder="1" applyAlignment="1">
      <alignment horizontal="center" vertical="center"/>
    </xf>
    <xf numFmtId="0" fontId="0" fillId="0" borderId="28" xfId="0" applyNumberFormat="1" applyBorder="1" applyAlignment="1">
      <alignment horizontal="center" vertical="center"/>
    </xf>
    <xf numFmtId="0" fontId="0" fillId="0" borderId="26" xfId="0" applyNumberFormat="1" applyBorder="1" applyAlignment="1">
      <alignment horizontal="center" vertical="center"/>
    </xf>
    <xf numFmtId="9" fontId="0" fillId="0" borderId="0" xfId="0" applyNumberFormat="1"/>
    <xf numFmtId="0" fontId="0" fillId="0" borderId="0" xfId="0" pivotButton="1" applyBorder="1"/>
    <xf numFmtId="0" fontId="0" fillId="0" borderId="0" xfId="0" applyBorder="1"/>
    <xf numFmtId="0" fontId="0" fillId="0" borderId="0" xfId="0" applyNumberFormat="1" applyBorder="1"/>
    <xf numFmtId="10" fontId="0" fillId="0" borderId="19" xfId="0" applyNumberFormat="1" applyBorder="1"/>
    <xf numFmtId="0" fontId="0" fillId="0" borderId="21" xfId="0" applyNumberFormat="1" applyBorder="1"/>
    <xf numFmtId="10" fontId="10" fillId="6" borderId="30" xfId="0" applyNumberFormat="1" applyFont="1" applyFill="1" applyBorder="1"/>
    <xf numFmtId="0" fontId="0" fillId="0" borderId="18" xfId="0" applyNumberFormat="1" applyBorder="1"/>
    <xf numFmtId="0" fontId="0" fillId="0" borderId="20" xfId="0" applyNumberFormat="1" applyBorder="1"/>
    <xf numFmtId="0" fontId="0" fillId="0" borderId="28" xfId="0" applyBorder="1" applyAlignment="1">
      <alignment horizontal="left" indent="1"/>
    </xf>
    <xf numFmtId="0" fontId="0" fillId="0" borderId="29" xfId="0" applyBorder="1" applyAlignment="1">
      <alignment horizontal="left" indent="1"/>
    </xf>
    <xf numFmtId="15" fontId="0" fillId="0" borderId="20" xfId="0" applyNumberFormat="1" applyBorder="1"/>
    <xf numFmtId="15" fontId="0" fillId="0" borderId="21" xfId="0" applyNumberFormat="1" applyBorder="1"/>
    <xf numFmtId="15" fontId="0" fillId="0" borderId="22" xfId="0" applyNumberFormat="1" applyBorder="1"/>
    <xf numFmtId="15" fontId="0" fillId="0" borderId="29" xfId="0" applyNumberFormat="1" applyBorder="1"/>
    <xf numFmtId="10" fontId="0" fillId="2" borderId="0" xfId="0" applyNumberFormat="1" applyFill="1" applyBorder="1"/>
    <xf numFmtId="10" fontId="10" fillId="7" borderId="0" xfId="0" applyNumberFormat="1" applyFont="1" applyFill="1" applyBorder="1"/>
    <xf numFmtId="0" fontId="0" fillId="0" borderId="27" xfId="0" applyBorder="1" applyAlignment="1">
      <alignment horizontal="left" indent="1"/>
    </xf>
    <xf numFmtId="0" fontId="0" fillId="0" borderId="15" xfId="0" applyNumberFormat="1" applyBorder="1"/>
    <xf numFmtId="0" fontId="0" fillId="0" borderId="16" xfId="0" applyNumberFormat="1" applyBorder="1"/>
    <xf numFmtId="0" fontId="0" fillId="0" borderId="19" xfId="0" applyBorder="1" applyAlignment="1">
      <alignment horizontal="center"/>
    </xf>
    <xf numFmtId="10" fontId="0" fillId="2" borderId="17" xfId="0" applyNumberFormat="1" applyFill="1" applyBorder="1" applyAlignment="1">
      <alignment horizontal="center"/>
    </xf>
    <xf numFmtId="10" fontId="0" fillId="2" borderId="19" xfId="0" applyNumberFormat="1" applyFill="1" applyBorder="1" applyAlignment="1">
      <alignment horizontal="center"/>
    </xf>
    <xf numFmtId="10" fontId="0" fillId="2" borderId="22" xfId="0" applyNumberFormat="1" applyFill="1" applyBorder="1" applyAlignment="1">
      <alignment horizontal="center"/>
    </xf>
    <xf numFmtId="0" fontId="0" fillId="0" borderId="27" xfId="0" applyNumberFormat="1" applyBorder="1" applyAlignment="1">
      <alignment horizontal="center"/>
    </xf>
    <xf numFmtId="0" fontId="0" fillId="0" borderId="29" xfId="0" applyNumberFormat="1" applyBorder="1" applyAlignment="1">
      <alignment horizontal="center"/>
    </xf>
    <xf numFmtId="10" fontId="10" fillId="6" borderId="22" xfId="0" applyNumberFormat="1" applyFont="1" applyFill="1" applyBorder="1" applyAlignment="1">
      <alignment horizontal="center"/>
    </xf>
    <xf numFmtId="0" fontId="10" fillId="4" borderId="26" xfId="0" applyFont="1" applyFill="1" applyBorder="1"/>
    <xf numFmtId="0" fontId="0" fillId="0" borderId="15" xfId="0" applyBorder="1" applyAlignment="1">
      <alignment horizontal="left"/>
    </xf>
    <xf numFmtId="10" fontId="0" fillId="0" borderId="17" xfId="0" applyNumberFormat="1" applyBorder="1" applyAlignment="1">
      <alignment horizontal="center"/>
    </xf>
    <xf numFmtId="10" fontId="0" fillId="0" borderId="19" xfId="0" applyNumberFormat="1" applyBorder="1" applyAlignment="1">
      <alignment horizontal="center"/>
    </xf>
    <xf numFmtId="10" fontId="0" fillId="0" borderId="22" xfId="0" applyNumberFormat="1" applyBorder="1" applyAlignment="1">
      <alignment horizontal="center"/>
    </xf>
    <xf numFmtId="0" fontId="10" fillId="4" borderId="23" xfId="0" applyFont="1" applyFill="1" applyBorder="1"/>
    <xf numFmtId="0" fontId="10" fillId="4" borderId="24" xfId="0" applyFont="1" applyFill="1" applyBorder="1"/>
    <xf numFmtId="0" fontId="10" fillId="4" borderId="25" xfId="0" applyFont="1" applyFill="1" applyBorder="1"/>
    <xf numFmtId="10" fontId="10" fillId="0" borderId="22" xfId="0" applyNumberFormat="1" applyFont="1" applyBorder="1" applyAlignment="1">
      <alignment horizontal="center"/>
    </xf>
    <xf numFmtId="0" fontId="0" fillId="0" borderId="26" xfId="0" applyBorder="1"/>
    <xf numFmtId="10" fontId="0" fillId="2" borderId="0" xfId="0" applyNumberFormat="1" applyFill="1" applyBorder="1" applyAlignment="1">
      <alignment horizontal="center"/>
    </xf>
    <xf numFmtId="10" fontId="10" fillId="2" borderId="0" xfId="0" applyNumberFormat="1" applyFont="1" applyFill="1" applyBorder="1" applyAlignment="1">
      <alignment horizontal="center"/>
    </xf>
    <xf numFmtId="10" fontId="0" fillId="2" borderId="28" xfId="0" applyNumberFormat="1" applyFill="1" applyBorder="1" applyAlignment="1">
      <alignment horizontal="center"/>
    </xf>
    <xf numFmtId="0" fontId="0" fillId="0" borderId="23" xfId="0" applyNumberFormat="1" applyBorder="1"/>
    <xf numFmtId="0" fontId="0" fillId="0" borderId="24" xfId="0" applyNumberFormat="1" applyBorder="1"/>
    <xf numFmtId="10" fontId="10" fillId="6" borderId="26" xfId="0" applyNumberFormat="1" applyFont="1" applyFill="1" applyBorder="1" applyAlignment="1">
      <alignment horizontal="center"/>
    </xf>
    <xf numFmtId="10" fontId="0" fillId="0" borderId="0" xfId="0" applyNumberFormat="1"/>
    <xf numFmtId="10" fontId="10" fillId="6" borderId="30" xfId="0" applyNumberFormat="1" applyFont="1" applyFill="1" applyBorder="1" applyAlignment="1">
      <alignment horizontal="center" vertical="center"/>
    </xf>
    <xf numFmtId="0" fontId="0" fillId="0" borderId="19" xfId="0" applyNumberFormat="1" applyBorder="1"/>
    <xf numFmtId="0" fontId="0" fillId="0" borderId="22" xfId="0" applyNumberFormat="1" applyBorder="1"/>
    <xf numFmtId="0" fontId="6"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10" fontId="3"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8" xfId="0" applyFont="1" applyFill="1" applyBorder="1" applyAlignment="1">
      <alignment horizontal="center" vertical="center" wrapText="1"/>
    </xf>
    <xf numFmtId="49" fontId="8" fillId="2" borderId="10" xfId="0" applyNumberFormat="1" applyFont="1" applyFill="1" applyBorder="1" applyAlignment="1">
      <alignment horizontal="center" vertical="center" wrapText="1"/>
    </xf>
    <xf numFmtId="49" fontId="8" fillId="2" borderId="11" xfId="0" applyNumberFormat="1" applyFont="1" applyFill="1" applyBorder="1" applyAlignment="1">
      <alignment horizontal="center" vertical="center" wrapText="1"/>
    </xf>
    <xf numFmtId="49" fontId="8" fillId="2" borderId="12"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14" fontId="8" fillId="2" borderId="2" xfId="0" applyNumberFormat="1" applyFont="1" applyFill="1" applyBorder="1" applyAlignment="1">
      <alignment horizontal="center" vertical="center" wrapText="1"/>
    </xf>
    <xf numFmtId="14" fontId="8" fillId="2" borderId="4" xfId="0" applyNumberFormat="1" applyFont="1" applyFill="1" applyBorder="1" applyAlignment="1">
      <alignment horizontal="center" vertical="center" wrapText="1"/>
    </xf>
    <xf numFmtId="14" fontId="8" fillId="2" borderId="3" xfId="0" applyNumberFormat="1" applyFont="1" applyFill="1" applyBorder="1" applyAlignment="1">
      <alignment horizontal="center" vertical="center" wrapText="1"/>
    </xf>
    <xf numFmtId="0" fontId="10" fillId="4" borderId="15" xfId="0" applyFont="1" applyFill="1" applyBorder="1" applyAlignment="1">
      <alignment horizontal="center"/>
    </xf>
    <xf numFmtId="0" fontId="10" fillId="4" borderId="16" xfId="0" applyFont="1" applyFill="1" applyBorder="1" applyAlignment="1">
      <alignment horizontal="center"/>
    </xf>
    <xf numFmtId="0" fontId="10" fillId="4" borderId="17" xfId="0" applyFont="1" applyFill="1" applyBorder="1" applyAlignment="1">
      <alignment horizontal="center"/>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4" borderId="17" xfId="0" applyFont="1" applyFill="1" applyBorder="1" applyAlignment="1">
      <alignment horizontal="center" vertical="center" wrapText="1"/>
    </xf>
  </cellXfs>
  <cellStyles count="1">
    <cellStyle name="Normal" xfId="0" builtinId="0"/>
  </cellStyles>
  <dxfs count="202">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top style="medium">
          <color indexed="64"/>
        </top>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center" readingOrder="0"/>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bottom style="medium">
          <color indexed="64"/>
        </bottom>
      </border>
    </dxf>
    <dxf>
      <border>
        <top style="medium">
          <color indexed="64"/>
        </top>
      </border>
    </dxf>
    <dxf>
      <border>
        <top style="medium">
          <color indexed="64"/>
        </top>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center" readingOrder="0"/>
    </dxf>
    <dxf>
      <alignment vertical="center" readingOrder="0"/>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center" readingOrder="0"/>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bgColor theme="0"/>
        </patternFill>
      </fill>
    </dxf>
    <dxf>
      <fill>
        <patternFill>
          <bgColor theme="0"/>
        </patternFill>
      </fill>
    </dxf>
    <dxf>
      <border>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alignment horizontal="center" readingOrder="0"/>
    </dxf>
    <dxf>
      <fill>
        <patternFill>
          <bgColor theme="4" tint="0.59999389629810485"/>
        </patternFill>
      </fill>
    </dxf>
    <dxf>
      <fill>
        <patternFill>
          <bgColor theme="4" tint="0.59999389629810485"/>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border>
        <left style="medium">
          <color indexed="64"/>
        </left>
      </border>
    </dxf>
    <dxf>
      <border>
        <top style="medium">
          <color indexed="64"/>
        </top>
        <bottom style="medium">
          <color indexed="64"/>
        </bottom>
      </border>
    </dxf>
    <dxf>
      <border>
        <top style="medium">
          <color indexed="64"/>
        </top>
        <bottom style="medium">
          <color indexed="64"/>
        </bottom>
      </border>
    </dxf>
    <dxf>
      <border>
        <top style="medium">
          <color indexed="64"/>
        </top>
        <bottom style="medium">
          <color indexed="64"/>
        </bottom>
      </border>
    </dxf>
    <dxf>
      <border>
        <top style="medium">
          <color indexed="64"/>
        </top>
        <bottom style="medium">
          <color indexed="64"/>
        </bottom>
      </border>
    </dxf>
    <dxf>
      <border>
        <top style="medium">
          <color indexed="64"/>
        </top>
        <bottom style="medium">
          <color indexed="64"/>
        </bottom>
      </border>
    </dxf>
    <dxf>
      <border>
        <top style="medium">
          <color indexed="64"/>
        </top>
        <bottom style="medium">
          <color indexed="64"/>
        </bottom>
      </border>
    </dxf>
    <dxf>
      <border>
        <top style="medium">
          <color indexed="64"/>
        </top>
        <bottom style="medium">
          <color indexed="64"/>
        </bottom>
      </border>
    </dxf>
    <dxf>
      <border>
        <top style="medium">
          <color indexed="64"/>
        </top>
        <bottom style="medium">
          <color indexed="64"/>
        </bottom>
      </border>
    </dxf>
    <dxf>
      <border>
        <top style="medium">
          <color indexed="64"/>
        </top>
        <bottom style="medium">
          <color indexed="64"/>
        </bottom>
      </border>
    </dxf>
    <dxf>
      <border>
        <top style="medium">
          <color indexed="64"/>
        </top>
        <bottom style="medium">
          <color indexed="64"/>
        </bottom>
      </border>
    </dxf>
    <dxf>
      <border>
        <top style="medium">
          <color indexed="64"/>
        </top>
        <bottom style="medium">
          <color indexed="64"/>
        </bottom>
      </border>
    </dxf>
    <dxf>
      <border>
        <top style="medium">
          <color indexed="64"/>
        </top>
        <bottom style="medium">
          <color indexed="64"/>
        </bottom>
      </border>
    </dxf>
    <dxf>
      <border>
        <top style="medium">
          <color indexed="64"/>
        </top>
        <bottom style="medium">
          <color indexed="64"/>
        </bottom>
      </border>
    </dxf>
    <dxf>
      <border>
        <top style="medium">
          <color indexed="64"/>
        </top>
        <bottom style="medium">
          <color indexed="64"/>
        </bottom>
      </border>
    </dxf>
    <dxf>
      <border>
        <top style="medium">
          <color indexed="64"/>
        </top>
        <bottom style="medium">
          <color indexed="64"/>
        </bottom>
      </border>
    </dxf>
    <dxf>
      <border>
        <top style="medium">
          <color indexed="64"/>
        </top>
        <bottom style="medium">
          <color indexed="64"/>
        </bottom>
      </border>
    </dxf>
    <dxf>
      <border>
        <top style="medium">
          <color indexed="64"/>
        </top>
        <bottom style="medium">
          <color indexed="64"/>
        </bottom>
      </border>
    </dxf>
    <dxf>
      <border>
        <top style="medium">
          <color indexed="64"/>
        </top>
        <bottom style="medium">
          <color indexed="64"/>
        </bottom>
      </border>
    </dxf>
    <dxf>
      <fill>
        <patternFill>
          <bgColor indexed="64"/>
        </patternFill>
      </fill>
    </dxf>
    <dxf>
      <fill>
        <patternFill>
          <bgColor indexed="64"/>
        </patternFill>
      </fill>
    </dxf>
    <dxf>
      <fill>
        <patternFill>
          <bgColor indexed="64"/>
        </patternFill>
      </fill>
    </dxf>
    <dxf>
      <fill>
        <patternFill>
          <bgColor indexed="64"/>
        </patternFill>
      </fill>
    </dxf>
    <dxf>
      <fill>
        <patternFill>
          <bgColor indexed="64"/>
        </patternFill>
      </fill>
    </dxf>
    <dxf>
      <fill>
        <patternFill>
          <bgColor indexed="64"/>
        </patternFill>
      </fill>
    </dxf>
    <dxf>
      <fill>
        <patternFill>
          <bgColor indexed="64"/>
        </patternFill>
      </fill>
    </dxf>
    <dxf>
      <fill>
        <patternFill>
          <bgColor indexed="64"/>
        </patternFill>
      </fill>
    </dxf>
    <dxf>
      <fill>
        <patternFill>
          <bgColor indexed="64"/>
        </patternFill>
      </fill>
    </dxf>
    <dxf>
      <fill>
        <patternFill>
          <bgColor indexed="64"/>
        </patternFill>
      </fill>
    </dxf>
    <dxf>
      <fill>
        <patternFill>
          <bgColor theme="4" tint="0.59999389629810485"/>
        </patternFill>
      </fill>
    </dxf>
    <dxf>
      <fill>
        <patternFill>
          <bgColor theme="4" tint="0.59999389629810485"/>
        </patternFill>
      </fill>
    </dxf>
    <dxf>
      <fill>
        <patternFill>
          <bgColor theme="0"/>
        </patternFill>
      </fill>
    </dxf>
    <dxf>
      <fill>
        <patternFill>
          <bgColor theme="0"/>
        </patternFill>
      </fill>
    </dxf>
    <dxf>
      <border>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alignment horizontal="center" readingOrder="0"/>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fill>
        <patternFill>
          <bgColor theme="0"/>
        </patternFill>
      </fill>
    </dxf>
    <dxf>
      <fill>
        <patternFill>
          <bgColor theme="0"/>
        </patternFill>
      </fill>
    </dxf>
    <dxf>
      <border>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fill>
        <patternFill patternType="solid">
          <bgColor theme="4" tint="0.59999389629810485"/>
        </patternFill>
      </fill>
    </dxf>
    <dxf>
      <alignment horizontal="center" readingOrder="0"/>
    </dxf>
    <dxf>
      <border>
        <top style="medium">
          <color indexed="64"/>
        </top>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center" readingOrder="0"/>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right style="medium">
          <color indexed="64"/>
        </right>
      </border>
    </dxf>
    <dxf>
      <border>
        <right style="medium">
          <color indexed="64"/>
        </right>
      </border>
    </dxf>
    <dxf>
      <border>
        <right style="medium">
          <color indexed="64"/>
        </right>
      </border>
    </dxf>
    <dxf>
      <border>
        <right style="medium">
          <color indexed="64"/>
        </right>
      </border>
    </dxf>
    <dxf>
      <border>
        <right style="medium">
          <color indexed="64"/>
        </right>
      </border>
    </dxf>
    <dxf>
      <border>
        <right style="medium">
          <color indexed="64"/>
        </right>
      </border>
    </dxf>
    <dxf>
      <border>
        <right style="medium">
          <color indexed="64"/>
        </right>
      </border>
    </dxf>
    <dxf>
      <border>
        <left style="medium">
          <color indexed="64"/>
        </left>
        <right style="medium">
          <color indexed="64"/>
        </right>
      </border>
    </dxf>
    <dxf>
      <alignment horizontal="center" readingOrder="0"/>
    </dxf>
    <dxf>
      <border>
        <right style="medium">
          <color indexed="64"/>
        </right>
        <top style="medium">
          <color indexed="64"/>
        </top>
        <bottom style="medium">
          <color indexed="64"/>
        </bottom>
      </border>
    </dxf>
    <dxf>
      <border>
        <right style="medium">
          <color indexed="64"/>
        </right>
        <top style="medium">
          <color indexed="64"/>
        </top>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QUEJAS I TRIMESTRE 2016</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TD!$A$96</c:f>
              <c:strCache>
                <c:ptCount val="1"/>
                <c:pt idx="0">
                  <c:v>DESARROLLO HUMANO</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TD!$B$96</c:f>
              <c:numCache>
                <c:formatCode>0%</c:formatCode>
                <c:ptCount val="1"/>
                <c:pt idx="0">
                  <c:v>7.6923076923076927E-2</c:v>
                </c:pt>
              </c:numCache>
            </c:numRef>
          </c:val>
        </c:ser>
        <c:ser>
          <c:idx val="1"/>
          <c:order val="1"/>
          <c:tx>
            <c:strRef>
              <c:f>TD!$A$97</c:f>
              <c:strCache>
                <c:ptCount val="1"/>
                <c:pt idx="0">
                  <c:v>JURIDICA</c:v>
                </c:pt>
              </c:strCache>
            </c:strRef>
          </c:tx>
          <c:spPr>
            <a:solidFill>
              <a:schemeClr val="accent2">
                <a:alpha val="85000"/>
              </a:schemeClr>
            </a:solidFill>
            <a:ln w="9525" cap="flat" cmpd="sng" algn="ctr">
              <a:solidFill>
                <a:schemeClr val="accent2">
                  <a:lumMod val="75000"/>
                </a:schemeClr>
              </a:solidFill>
              <a:round/>
            </a:ln>
            <a:effectLst/>
            <a:sp3d contourW="9525">
              <a:contourClr>
                <a:schemeClr val="accent2">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TD!$B$97</c:f>
              <c:numCache>
                <c:formatCode>0%</c:formatCode>
                <c:ptCount val="1"/>
                <c:pt idx="0">
                  <c:v>7.6923076923076927E-2</c:v>
                </c:pt>
              </c:numCache>
            </c:numRef>
          </c:val>
        </c:ser>
        <c:ser>
          <c:idx val="2"/>
          <c:order val="2"/>
          <c:tx>
            <c:strRef>
              <c:f>TD!$A$98</c:f>
              <c:strCache>
                <c:ptCount val="1"/>
                <c:pt idx="0">
                  <c:v>MISION BOGOTA</c:v>
                </c:pt>
              </c:strCache>
            </c:strRef>
          </c:tx>
          <c:spPr>
            <a:solidFill>
              <a:schemeClr val="accent3">
                <a:alpha val="85000"/>
              </a:schemeClr>
            </a:solidFill>
            <a:ln w="9525" cap="flat" cmpd="sng" algn="ctr">
              <a:solidFill>
                <a:schemeClr val="accent3">
                  <a:lumMod val="75000"/>
                </a:schemeClr>
              </a:solidFill>
              <a:round/>
            </a:ln>
            <a:effectLst/>
            <a:sp3d contourW="9525">
              <a:contourClr>
                <a:schemeClr val="accent3">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TD!$B$98</c:f>
              <c:numCache>
                <c:formatCode>0%</c:formatCode>
                <c:ptCount val="1"/>
                <c:pt idx="0">
                  <c:v>7.6923076923076927E-2</c:v>
                </c:pt>
              </c:numCache>
            </c:numRef>
          </c:val>
        </c:ser>
        <c:ser>
          <c:idx val="3"/>
          <c:order val="3"/>
          <c:tx>
            <c:strRef>
              <c:f>TD!$A$99</c:f>
              <c:strCache>
                <c:ptCount val="1"/>
                <c:pt idx="0">
                  <c:v>BAÑOS PUBLICOS</c:v>
                </c:pt>
              </c:strCache>
            </c:strRef>
          </c:tx>
          <c:spPr>
            <a:solidFill>
              <a:schemeClr val="accent4">
                <a:alpha val="85000"/>
              </a:schemeClr>
            </a:solidFill>
            <a:ln w="9525" cap="flat" cmpd="sng" algn="ctr">
              <a:solidFill>
                <a:schemeClr val="accent4">
                  <a:lumMod val="75000"/>
                </a:schemeClr>
              </a:solidFill>
              <a:round/>
            </a:ln>
            <a:effectLst/>
            <a:sp3d contourW="9525">
              <a:contourClr>
                <a:schemeClr val="accent4">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TD!$B$99</c:f>
              <c:numCache>
                <c:formatCode>0%</c:formatCode>
                <c:ptCount val="1"/>
                <c:pt idx="0">
                  <c:v>0.23076923076923078</c:v>
                </c:pt>
              </c:numCache>
            </c:numRef>
          </c:val>
        </c:ser>
        <c:ser>
          <c:idx val="4"/>
          <c:order val="4"/>
          <c:tx>
            <c:strRef>
              <c:f>TD!$A$100</c:f>
              <c:strCache>
                <c:ptCount val="1"/>
                <c:pt idx="0">
                  <c:v>SUBFINANCIERA</c:v>
                </c:pt>
              </c:strCache>
            </c:strRef>
          </c:tx>
          <c:spPr>
            <a:solidFill>
              <a:schemeClr val="accent5">
                <a:alpha val="85000"/>
              </a:schemeClr>
            </a:solidFill>
            <a:ln w="9525" cap="flat" cmpd="sng" algn="ctr">
              <a:solidFill>
                <a:schemeClr val="accent5">
                  <a:lumMod val="75000"/>
                </a:schemeClr>
              </a:solidFill>
              <a:round/>
            </a:ln>
            <a:effectLst/>
            <a:sp3d contourW="9525">
              <a:contourClr>
                <a:schemeClr val="accent5">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TD!$B$100</c:f>
              <c:numCache>
                <c:formatCode>0%</c:formatCode>
                <c:ptCount val="1"/>
                <c:pt idx="0">
                  <c:v>0.23076923076923078</c:v>
                </c:pt>
              </c:numCache>
            </c:numRef>
          </c:val>
        </c:ser>
        <c:ser>
          <c:idx val="5"/>
          <c:order val="5"/>
          <c:tx>
            <c:strRef>
              <c:f>TD!$A$101</c:f>
              <c:strCache>
                <c:ptCount val="1"/>
                <c:pt idx="0">
                  <c:v>SUBMETODOS</c:v>
                </c:pt>
              </c:strCache>
            </c:strRef>
          </c:tx>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TD!$B$101</c:f>
              <c:numCache>
                <c:formatCode>0%</c:formatCode>
                <c:ptCount val="1"/>
                <c:pt idx="0">
                  <c:v>0.30769230769230771</c:v>
                </c:pt>
              </c:numCache>
            </c:numRef>
          </c:val>
        </c:ser>
        <c:dLbls>
          <c:showLegendKey val="0"/>
          <c:showVal val="0"/>
          <c:showCatName val="0"/>
          <c:showSerName val="0"/>
          <c:showPercent val="0"/>
          <c:showBubbleSize val="0"/>
        </c:dLbls>
        <c:gapWidth val="65"/>
        <c:shape val="box"/>
        <c:axId val="288953784"/>
        <c:axId val="286523920"/>
        <c:axId val="0"/>
      </c:bar3DChart>
      <c:catAx>
        <c:axId val="28895378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86523920"/>
        <c:crosses val="autoZero"/>
        <c:auto val="1"/>
        <c:lblAlgn val="ctr"/>
        <c:lblOffset val="100"/>
        <c:noMultiLvlLbl val="0"/>
      </c:catAx>
      <c:valAx>
        <c:axId val="286523920"/>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288953784"/>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a:t>REQUERIMIENTOS PRIMER TRIMESTRE 2016</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GRAFICAS!$A$16</c:f>
              <c:strCache>
                <c:ptCount val="1"/>
                <c:pt idx="0">
                  <c:v>FELICITACIÓN</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GRAFICAS!$B$16</c:f>
              <c:numCache>
                <c:formatCode>0.00%</c:formatCode>
                <c:ptCount val="1"/>
                <c:pt idx="0">
                  <c:v>9.6153846153846159E-3</c:v>
                </c:pt>
              </c:numCache>
            </c:numRef>
          </c:val>
        </c:ser>
        <c:ser>
          <c:idx val="1"/>
          <c:order val="1"/>
          <c:tx>
            <c:strRef>
              <c:f>GRAFICAS!$A$17</c:f>
              <c:strCache>
                <c:ptCount val="1"/>
                <c:pt idx="0">
                  <c:v>SOLICITUD DE COPIA</c:v>
                </c:pt>
              </c:strCache>
            </c:strRef>
          </c:tx>
          <c:spPr>
            <a:solidFill>
              <a:schemeClr val="accent2">
                <a:alpha val="85000"/>
              </a:schemeClr>
            </a:solidFill>
            <a:ln w="9525" cap="flat" cmpd="sng" algn="ctr">
              <a:solidFill>
                <a:schemeClr val="accent2">
                  <a:lumMod val="75000"/>
                </a:schemeClr>
              </a:solidFill>
              <a:round/>
            </a:ln>
            <a:effectLst/>
            <a:sp3d contourW="9525">
              <a:contourClr>
                <a:schemeClr val="accent2">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GRAFICAS!$B$17</c:f>
              <c:numCache>
                <c:formatCode>0.00%</c:formatCode>
                <c:ptCount val="1"/>
                <c:pt idx="0">
                  <c:v>1.9230769230769232E-2</c:v>
                </c:pt>
              </c:numCache>
            </c:numRef>
          </c:val>
        </c:ser>
        <c:ser>
          <c:idx val="2"/>
          <c:order val="2"/>
          <c:tx>
            <c:strRef>
              <c:f>GRAFICAS!$A$18</c:f>
              <c:strCache>
                <c:ptCount val="1"/>
                <c:pt idx="0">
                  <c:v>SOLICITUD DE INFORMACIÓN</c:v>
                </c:pt>
              </c:strCache>
            </c:strRef>
          </c:tx>
          <c:spPr>
            <a:solidFill>
              <a:schemeClr val="accent3">
                <a:alpha val="85000"/>
              </a:schemeClr>
            </a:solidFill>
            <a:ln w="9525" cap="flat" cmpd="sng" algn="ctr">
              <a:solidFill>
                <a:schemeClr val="accent3">
                  <a:lumMod val="75000"/>
                </a:schemeClr>
              </a:solidFill>
              <a:round/>
            </a:ln>
            <a:effectLst/>
            <a:sp3d contourW="9525">
              <a:contourClr>
                <a:schemeClr val="accent3">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GRAFICAS!$B$18</c:f>
              <c:numCache>
                <c:formatCode>0.00%</c:formatCode>
                <c:ptCount val="1"/>
                <c:pt idx="0">
                  <c:v>7.6923076923076927E-2</c:v>
                </c:pt>
              </c:numCache>
            </c:numRef>
          </c:val>
        </c:ser>
        <c:ser>
          <c:idx val="3"/>
          <c:order val="3"/>
          <c:tx>
            <c:strRef>
              <c:f>GRAFICAS!$A$19</c:f>
              <c:strCache>
                <c:ptCount val="1"/>
                <c:pt idx="0">
                  <c:v>RECLAMO</c:v>
                </c:pt>
              </c:strCache>
            </c:strRef>
          </c:tx>
          <c:spPr>
            <a:solidFill>
              <a:schemeClr val="accent4">
                <a:alpha val="85000"/>
              </a:schemeClr>
            </a:solidFill>
            <a:ln w="9525" cap="flat" cmpd="sng" algn="ctr">
              <a:solidFill>
                <a:schemeClr val="accent4">
                  <a:lumMod val="75000"/>
                </a:schemeClr>
              </a:solidFill>
              <a:round/>
            </a:ln>
            <a:effectLst/>
            <a:sp3d contourW="9525">
              <a:contourClr>
                <a:schemeClr val="accent4">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GRAFICAS!$B$19</c:f>
              <c:numCache>
                <c:formatCode>0.00%</c:formatCode>
                <c:ptCount val="1"/>
                <c:pt idx="0">
                  <c:v>0.11538461538461539</c:v>
                </c:pt>
              </c:numCache>
            </c:numRef>
          </c:val>
        </c:ser>
        <c:ser>
          <c:idx val="4"/>
          <c:order val="4"/>
          <c:tx>
            <c:strRef>
              <c:f>GRAFICAS!$A$20</c:f>
              <c:strCache>
                <c:ptCount val="1"/>
                <c:pt idx="0">
                  <c:v>PETICIÓN INTERÉS GENERAL</c:v>
                </c:pt>
              </c:strCache>
            </c:strRef>
          </c:tx>
          <c:spPr>
            <a:solidFill>
              <a:schemeClr val="accent5">
                <a:alpha val="85000"/>
              </a:schemeClr>
            </a:solidFill>
            <a:ln w="9525" cap="flat" cmpd="sng" algn="ctr">
              <a:solidFill>
                <a:schemeClr val="accent5">
                  <a:lumMod val="75000"/>
                </a:schemeClr>
              </a:solidFill>
              <a:round/>
            </a:ln>
            <a:effectLst/>
            <a:sp3d contourW="9525">
              <a:contourClr>
                <a:schemeClr val="accent5">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GRAFICAS!$B$20</c:f>
              <c:numCache>
                <c:formatCode>0.00%</c:formatCode>
                <c:ptCount val="1"/>
                <c:pt idx="0">
                  <c:v>0.11538461538461539</c:v>
                </c:pt>
              </c:numCache>
            </c:numRef>
          </c:val>
        </c:ser>
        <c:ser>
          <c:idx val="5"/>
          <c:order val="5"/>
          <c:tx>
            <c:strRef>
              <c:f>GRAFICAS!$A$21</c:f>
              <c:strCache>
                <c:ptCount val="1"/>
                <c:pt idx="0">
                  <c:v>QUEJA</c:v>
                </c:pt>
              </c:strCache>
            </c:strRef>
          </c:tx>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GRAFICAS!$B$21</c:f>
              <c:numCache>
                <c:formatCode>0.00%</c:formatCode>
                <c:ptCount val="1"/>
                <c:pt idx="0">
                  <c:v>0.125</c:v>
                </c:pt>
              </c:numCache>
            </c:numRef>
          </c:val>
        </c:ser>
        <c:ser>
          <c:idx val="6"/>
          <c:order val="6"/>
          <c:tx>
            <c:strRef>
              <c:f>GRAFICAS!$A$22</c:f>
              <c:strCache>
                <c:ptCount val="1"/>
                <c:pt idx="0">
                  <c:v>SUGERENCIA</c:v>
                </c:pt>
              </c:strCache>
            </c:strRef>
          </c:tx>
          <c:spPr>
            <a:solidFill>
              <a:schemeClr val="accent1">
                <a:lumMod val="60000"/>
                <a:alpha val="85000"/>
              </a:schemeClr>
            </a:solidFill>
            <a:ln w="9525" cap="flat" cmpd="sng" algn="ctr">
              <a:solidFill>
                <a:schemeClr val="accent1">
                  <a:lumMod val="60000"/>
                  <a:lumMod val="75000"/>
                </a:schemeClr>
              </a:solidFill>
              <a:round/>
            </a:ln>
            <a:effectLst/>
            <a:sp3d contourW="9525">
              <a:contourClr>
                <a:schemeClr val="accent1">
                  <a:lumMod val="60000"/>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GRAFICAS!$B$22</c:f>
              <c:numCache>
                <c:formatCode>0.00%</c:formatCode>
                <c:ptCount val="1"/>
                <c:pt idx="0">
                  <c:v>0.18269230769230768</c:v>
                </c:pt>
              </c:numCache>
            </c:numRef>
          </c:val>
        </c:ser>
        <c:ser>
          <c:idx val="7"/>
          <c:order val="7"/>
          <c:tx>
            <c:strRef>
              <c:f>GRAFICAS!$A$23</c:f>
              <c:strCache>
                <c:ptCount val="1"/>
                <c:pt idx="0">
                  <c:v>PETICIÓN INTERÉS PARTICULAR</c:v>
                </c:pt>
              </c:strCache>
            </c:strRef>
          </c:tx>
          <c:spPr>
            <a:solidFill>
              <a:schemeClr val="accent2">
                <a:lumMod val="60000"/>
                <a:alpha val="85000"/>
              </a:schemeClr>
            </a:solidFill>
            <a:ln w="9525" cap="flat" cmpd="sng" algn="ctr">
              <a:solidFill>
                <a:schemeClr val="accent2">
                  <a:lumMod val="60000"/>
                  <a:lumMod val="75000"/>
                </a:schemeClr>
              </a:solidFill>
              <a:round/>
            </a:ln>
            <a:effectLst/>
            <a:sp3d contourW="9525">
              <a:contourClr>
                <a:schemeClr val="accent2">
                  <a:lumMod val="60000"/>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GRAFICAS!$B$23</c:f>
              <c:numCache>
                <c:formatCode>0.00%</c:formatCode>
                <c:ptCount val="1"/>
                <c:pt idx="0">
                  <c:v>0.35576923076923078</c:v>
                </c:pt>
              </c:numCache>
            </c:numRef>
          </c:val>
        </c:ser>
        <c:dLbls>
          <c:showLegendKey val="0"/>
          <c:showVal val="0"/>
          <c:showCatName val="0"/>
          <c:showSerName val="0"/>
          <c:showPercent val="0"/>
          <c:showBubbleSize val="0"/>
        </c:dLbls>
        <c:gapWidth val="65"/>
        <c:shape val="box"/>
        <c:axId val="289351768"/>
        <c:axId val="289352160"/>
        <c:axId val="0"/>
      </c:bar3DChart>
      <c:catAx>
        <c:axId val="28935176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89352160"/>
        <c:crosses val="autoZero"/>
        <c:auto val="1"/>
        <c:lblAlgn val="ctr"/>
        <c:lblOffset val="100"/>
        <c:noMultiLvlLbl val="0"/>
      </c:catAx>
      <c:valAx>
        <c:axId val="289352160"/>
        <c:scaling>
          <c:orientation val="minMax"/>
        </c:scaling>
        <c:delete val="0"/>
        <c:axPos val="l"/>
        <c:majorGridlines>
          <c:spPr>
            <a:ln w="9525" cap="flat" cmpd="sng" algn="ctr">
              <a:solidFill>
                <a:schemeClr val="dk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289351768"/>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ES"/>
              <a:t>REQUERIMIENTOS POR USUARIOS SDQS</a:t>
            </a:r>
            <a:endParaRPr lang="es-CO"/>
          </a:p>
        </c:rich>
      </c:tx>
      <c:layout>
        <c:manualLayout>
          <c:xMode val="edge"/>
          <c:yMode val="edge"/>
          <c:x val="0.1683678915135608"/>
          <c:y val="2.3148148148148147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GRAFICAS!$A$44</c:f>
              <c:strCache>
                <c:ptCount val="1"/>
                <c:pt idx="0">
                  <c:v>DIRECCION</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GRAFICAS!$B$44</c:f>
              <c:numCache>
                <c:formatCode>0%</c:formatCode>
                <c:ptCount val="1"/>
                <c:pt idx="0">
                  <c:v>1.9230769230769232E-2</c:v>
                </c:pt>
              </c:numCache>
            </c:numRef>
          </c:val>
        </c:ser>
        <c:ser>
          <c:idx val="1"/>
          <c:order val="1"/>
          <c:tx>
            <c:strRef>
              <c:f>GRAFICAS!$A$45</c:f>
              <c:strCache>
                <c:ptCount val="1"/>
                <c:pt idx="0">
                  <c:v>PLANEACION</c:v>
                </c:pt>
              </c:strCache>
            </c:strRef>
          </c:tx>
          <c:spPr>
            <a:solidFill>
              <a:schemeClr val="accent2">
                <a:alpha val="85000"/>
              </a:schemeClr>
            </a:solidFill>
            <a:ln w="9525" cap="flat" cmpd="sng" algn="ctr">
              <a:solidFill>
                <a:schemeClr val="accent2">
                  <a:lumMod val="75000"/>
                </a:schemeClr>
              </a:solidFill>
              <a:round/>
            </a:ln>
            <a:effectLst/>
            <a:sp3d contourW="9525">
              <a:contourClr>
                <a:schemeClr val="accent2">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GRAFICAS!$B$45</c:f>
              <c:numCache>
                <c:formatCode>0%</c:formatCode>
                <c:ptCount val="1"/>
                <c:pt idx="0">
                  <c:v>3.8461538461538464E-2</c:v>
                </c:pt>
              </c:numCache>
            </c:numRef>
          </c:val>
        </c:ser>
        <c:ser>
          <c:idx val="2"/>
          <c:order val="2"/>
          <c:tx>
            <c:strRef>
              <c:f>GRAFICAS!$A$46</c:f>
              <c:strCache>
                <c:ptCount val="1"/>
                <c:pt idx="0">
                  <c:v>JURIDICA</c:v>
                </c:pt>
              </c:strCache>
            </c:strRef>
          </c:tx>
          <c:spPr>
            <a:solidFill>
              <a:schemeClr val="accent3">
                <a:alpha val="85000"/>
              </a:schemeClr>
            </a:solidFill>
            <a:ln w="9525" cap="flat" cmpd="sng" algn="ctr">
              <a:solidFill>
                <a:schemeClr val="accent3">
                  <a:lumMod val="75000"/>
                </a:schemeClr>
              </a:solidFill>
              <a:round/>
            </a:ln>
            <a:effectLst/>
            <a:sp3d contourW="9525">
              <a:contourClr>
                <a:schemeClr val="accent3">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GRAFICAS!$B$46</c:f>
              <c:numCache>
                <c:formatCode>0%</c:formatCode>
                <c:ptCount val="1"/>
                <c:pt idx="0">
                  <c:v>4.807692307692308E-2</c:v>
                </c:pt>
              </c:numCache>
            </c:numRef>
          </c:val>
        </c:ser>
        <c:ser>
          <c:idx val="3"/>
          <c:order val="3"/>
          <c:tx>
            <c:strRef>
              <c:f>GRAFICAS!$A$47</c:f>
              <c:strCache>
                <c:ptCount val="1"/>
                <c:pt idx="0">
                  <c:v>COMEDORES</c:v>
                </c:pt>
              </c:strCache>
            </c:strRef>
          </c:tx>
          <c:spPr>
            <a:solidFill>
              <a:schemeClr val="accent4">
                <a:alpha val="85000"/>
              </a:schemeClr>
            </a:solidFill>
            <a:ln w="9525" cap="flat" cmpd="sng" algn="ctr">
              <a:solidFill>
                <a:schemeClr val="accent4">
                  <a:lumMod val="75000"/>
                </a:schemeClr>
              </a:solidFill>
              <a:round/>
            </a:ln>
            <a:effectLst/>
            <a:sp3d contourW="9525">
              <a:contourClr>
                <a:schemeClr val="accent4">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GRAFICAS!$B$47</c:f>
              <c:numCache>
                <c:formatCode>0%</c:formatCode>
                <c:ptCount val="1"/>
                <c:pt idx="0">
                  <c:v>4.807692307692308E-2</c:v>
                </c:pt>
              </c:numCache>
            </c:numRef>
          </c:val>
        </c:ser>
        <c:ser>
          <c:idx val="4"/>
          <c:order val="4"/>
          <c:tx>
            <c:strRef>
              <c:f>GRAFICAS!$A$48</c:f>
              <c:strCache>
                <c:ptCount val="1"/>
                <c:pt idx="0">
                  <c:v>SUBFINANCIERA</c:v>
                </c:pt>
              </c:strCache>
            </c:strRef>
          </c:tx>
          <c:spPr>
            <a:solidFill>
              <a:schemeClr val="accent5">
                <a:alpha val="85000"/>
              </a:schemeClr>
            </a:solidFill>
            <a:ln w="9525" cap="flat" cmpd="sng" algn="ctr">
              <a:solidFill>
                <a:schemeClr val="accent5">
                  <a:lumMod val="75000"/>
                </a:schemeClr>
              </a:solidFill>
              <a:round/>
            </a:ln>
            <a:effectLst/>
            <a:sp3d contourW="9525">
              <a:contourClr>
                <a:schemeClr val="accent5">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GRAFICAS!$B$48</c:f>
              <c:numCache>
                <c:formatCode>0%</c:formatCode>
                <c:ptCount val="1"/>
                <c:pt idx="0">
                  <c:v>5.7692307692307696E-2</c:v>
                </c:pt>
              </c:numCache>
            </c:numRef>
          </c:val>
        </c:ser>
        <c:ser>
          <c:idx val="5"/>
          <c:order val="5"/>
          <c:tx>
            <c:strRef>
              <c:f>GRAFICAS!$A$49</c:f>
              <c:strCache>
                <c:ptCount val="1"/>
                <c:pt idx="0">
                  <c:v>DESARROLLO HUMANO</c:v>
                </c:pt>
              </c:strCache>
            </c:strRef>
          </c:tx>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GRAFICAS!$B$49</c:f>
              <c:numCache>
                <c:formatCode>0%</c:formatCode>
                <c:ptCount val="1"/>
                <c:pt idx="0">
                  <c:v>6.7307692307692304E-2</c:v>
                </c:pt>
              </c:numCache>
            </c:numRef>
          </c:val>
        </c:ser>
        <c:ser>
          <c:idx val="6"/>
          <c:order val="6"/>
          <c:tx>
            <c:strRef>
              <c:f>GRAFICAS!$A$50</c:f>
              <c:strCache>
                <c:ptCount val="1"/>
                <c:pt idx="0">
                  <c:v>BAÑOS PUBLICOS</c:v>
                </c:pt>
              </c:strCache>
            </c:strRef>
          </c:tx>
          <c:spPr>
            <a:solidFill>
              <a:schemeClr val="accent1">
                <a:lumMod val="60000"/>
                <a:alpha val="85000"/>
              </a:schemeClr>
            </a:solidFill>
            <a:ln w="9525" cap="flat" cmpd="sng" algn="ctr">
              <a:solidFill>
                <a:schemeClr val="accent1">
                  <a:lumMod val="60000"/>
                  <a:lumMod val="75000"/>
                </a:schemeClr>
              </a:solidFill>
              <a:round/>
            </a:ln>
            <a:effectLst/>
            <a:sp3d contourW="9525">
              <a:contourClr>
                <a:schemeClr val="accent1">
                  <a:lumMod val="60000"/>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GRAFICAS!$B$50</c:f>
              <c:numCache>
                <c:formatCode>0%</c:formatCode>
                <c:ptCount val="1"/>
                <c:pt idx="0">
                  <c:v>9.6153846153846159E-2</c:v>
                </c:pt>
              </c:numCache>
            </c:numRef>
          </c:val>
        </c:ser>
        <c:ser>
          <c:idx val="7"/>
          <c:order val="7"/>
          <c:tx>
            <c:strRef>
              <c:f>GRAFICAS!$A$51</c:f>
              <c:strCache>
                <c:ptCount val="1"/>
                <c:pt idx="0">
                  <c:v>MISION BOGOTA</c:v>
                </c:pt>
              </c:strCache>
            </c:strRef>
          </c:tx>
          <c:spPr>
            <a:solidFill>
              <a:schemeClr val="accent2">
                <a:lumMod val="60000"/>
                <a:alpha val="85000"/>
              </a:schemeClr>
            </a:solidFill>
            <a:ln w="9525" cap="flat" cmpd="sng" algn="ctr">
              <a:solidFill>
                <a:schemeClr val="accent2">
                  <a:lumMod val="60000"/>
                  <a:lumMod val="75000"/>
                </a:schemeClr>
              </a:solidFill>
              <a:round/>
            </a:ln>
            <a:effectLst/>
            <a:sp3d contourW="9525">
              <a:contourClr>
                <a:schemeClr val="accent2">
                  <a:lumMod val="60000"/>
                  <a:lumMod val="75000"/>
                </a:schemeClr>
              </a:contourClr>
            </a:sp3d>
          </c:spPr>
          <c:invertIfNegative val="0"/>
          <c:dLbls>
            <c:dLbl>
              <c:idx val="0"/>
              <c:layout>
                <c:manualLayout>
                  <c:x val="-1.6666666666666666E-2"/>
                  <c:y val="-1.3888888888888888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GRAFICAS!$B$51</c:f>
              <c:numCache>
                <c:formatCode>0%</c:formatCode>
                <c:ptCount val="1"/>
                <c:pt idx="0">
                  <c:v>0.13461538461538461</c:v>
                </c:pt>
              </c:numCache>
            </c:numRef>
          </c:val>
        </c:ser>
        <c:ser>
          <c:idx val="8"/>
          <c:order val="8"/>
          <c:tx>
            <c:strRef>
              <c:f>GRAFICAS!$A$52</c:f>
              <c:strCache>
                <c:ptCount val="1"/>
                <c:pt idx="0">
                  <c:v>SUBMETODOS</c:v>
                </c:pt>
              </c:strCache>
            </c:strRef>
          </c:tx>
          <c:spPr>
            <a:solidFill>
              <a:schemeClr val="accent3">
                <a:lumMod val="60000"/>
                <a:alpha val="85000"/>
              </a:schemeClr>
            </a:solidFill>
            <a:ln w="9525" cap="flat" cmpd="sng" algn="ctr">
              <a:solidFill>
                <a:schemeClr val="accent3">
                  <a:lumMod val="60000"/>
                  <a:lumMod val="75000"/>
                </a:schemeClr>
              </a:solidFill>
              <a:round/>
            </a:ln>
            <a:effectLst/>
            <a:sp3d contourW="9525">
              <a:contourClr>
                <a:schemeClr val="accent3">
                  <a:lumMod val="60000"/>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GRAFICAS!$B$52</c:f>
              <c:numCache>
                <c:formatCode>0%</c:formatCode>
                <c:ptCount val="1"/>
                <c:pt idx="0">
                  <c:v>0.49038461538461536</c:v>
                </c:pt>
              </c:numCache>
            </c:numRef>
          </c:val>
        </c:ser>
        <c:dLbls>
          <c:showLegendKey val="0"/>
          <c:showVal val="0"/>
          <c:showCatName val="0"/>
          <c:showSerName val="0"/>
          <c:showPercent val="0"/>
          <c:showBubbleSize val="0"/>
        </c:dLbls>
        <c:gapWidth val="65"/>
        <c:shape val="box"/>
        <c:axId val="289437152"/>
        <c:axId val="297839824"/>
        <c:axId val="0"/>
      </c:bar3DChart>
      <c:catAx>
        <c:axId val="28943715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97839824"/>
        <c:crosses val="autoZero"/>
        <c:auto val="1"/>
        <c:lblAlgn val="ctr"/>
        <c:lblOffset val="100"/>
        <c:noMultiLvlLbl val="0"/>
      </c:catAx>
      <c:valAx>
        <c:axId val="297839824"/>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289437152"/>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RECLAMOS I. TRIMESTRE 2016</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GRAFICAS!$A$173</c:f>
              <c:strCache>
                <c:ptCount val="1"/>
                <c:pt idx="0">
                  <c:v>DESARROLLO HUMANO</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GRAFICAS!$B$173</c:f>
              <c:numCache>
                <c:formatCode>0.00%</c:formatCode>
                <c:ptCount val="1"/>
                <c:pt idx="0">
                  <c:v>8.3333333333333329E-2</c:v>
                </c:pt>
              </c:numCache>
            </c:numRef>
          </c:val>
        </c:ser>
        <c:ser>
          <c:idx val="1"/>
          <c:order val="1"/>
          <c:tx>
            <c:strRef>
              <c:f>GRAFICAS!$A$174</c:f>
              <c:strCache>
                <c:ptCount val="1"/>
                <c:pt idx="0">
                  <c:v>MISION BOGOTA</c:v>
                </c:pt>
              </c:strCache>
            </c:strRef>
          </c:tx>
          <c:spPr>
            <a:solidFill>
              <a:schemeClr val="accent2">
                <a:alpha val="85000"/>
              </a:schemeClr>
            </a:solidFill>
            <a:ln w="9525" cap="flat" cmpd="sng" algn="ctr">
              <a:solidFill>
                <a:schemeClr val="accent2">
                  <a:lumMod val="75000"/>
                </a:schemeClr>
              </a:solidFill>
              <a:round/>
            </a:ln>
            <a:effectLst/>
            <a:sp3d contourW="9525">
              <a:contourClr>
                <a:schemeClr val="accent2">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GRAFICAS!$B$174</c:f>
              <c:numCache>
                <c:formatCode>0.00%</c:formatCode>
                <c:ptCount val="1"/>
                <c:pt idx="0">
                  <c:v>8.3333333333333329E-2</c:v>
                </c:pt>
              </c:numCache>
            </c:numRef>
          </c:val>
        </c:ser>
        <c:ser>
          <c:idx val="2"/>
          <c:order val="2"/>
          <c:tx>
            <c:strRef>
              <c:f>GRAFICAS!$A$175</c:f>
              <c:strCache>
                <c:ptCount val="1"/>
                <c:pt idx="0">
                  <c:v>BAÑOS PUBLICOS</c:v>
                </c:pt>
              </c:strCache>
            </c:strRef>
          </c:tx>
          <c:spPr>
            <a:solidFill>
              <a:schemeClr val="accent3">
                <a:alpha val="85000"/>
              </a:schemeClr>
            </a:solidFill>
            <a:ln w="9525" cap="flat" cmpd="sng" algn="ctr">
              <a:solidFill>
                <a:schemeClr val="accent3">
                  <a:lumMod val="75000"/>
                </a:schemeClr>
              </a:solidFill>
              <a:round/>
            </a:ln>
            <a:effectLst/>
            <a:sp3d contourW="9525">
              <a:contourClr>
                <a:schemeClr val="accent3">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GRAFICAS!$B$175</c:f>
              <c:numCache>
                <c:formatCode>0.00%</c:formatCode>
                <c:ptCount val="1"/>
                <c:pt idx="0">
                  <c:v>0.33333333333333331</c:v>
                </c:pt>
              </c:numCache>
            </c:numRef>
          </c:val>
        </c:ser>
        <c:ser>
          <c:idx val="3"/>
          <c:order val="3"/>
          <c:tx>
            <c:strRef>
              <c:f>GRAFICAS!$A$176</c:f>
              <c:strCache>
                <c:ptCount val="1"/>
                <c:pt idx="0">
                  <c:v>SUBMETODOS</c:v>
                </c:pt>
              </c:strCache>
            </c:strRef>
          </c:tx>
          <c:spPr>
            <a:solidFill>
              <a:schemeClr val="accent4">
                <a:alpha val="85000"/>
              </a:schemeClr>
            </a:solidFill>
            <a:ln w="9525" cap="flat" cmpd="sng" algn="ctr">
              <a:solidFill>
                <a:schemeClr val="accent4">
                  <a:lumMod val="75000"/>
                </a:schemeClr>
              </a:solidFill>
              <a:round/>
            </a:ln>
            <a:effectLst/>
            <a:sp3d contourW="9525">
              <a:contourClr>
                <a:schemeClr val="accent4">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GRAFICAS!$B$176</c:f>
              <c:numCache>
                <c:formatCode>0.00%</c:formatCode>
                <c:ptCount val="1"/>
                <c:pt idx="0">
                  <c:v>0.5</c:v>
                </c:pt>
              </c:numCache>
            </c:numRef>
          </c:val>
        </c:ser>
        <c:dLbls>
          <c:showLegendKey val="0"/>
          <c:showVal val="0"/>
          <c:showCatName val="0"/>
          <c:showSerName val="0"/>
          <c:showPercent val="0"/>
          <c:showBubbleSize val="0"/>
        </c:dLbls>
        <c:gapWidth val="65"/>
        <c:shape val="box"/>
        <c:axId val="297821392"/>
        <c:axId val="297821784"/>
        <c:axId val="0"/>
      </c:bar3DChart>
      <c:catAx>
        <c:axId val="29782139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297821784"/>
        <c:crosses val="autoZero"/>
        <c:auto val="1"/>
        <c:lblAlgn val="ctr"/>
        <c:lblOffset val="100"/>
        <c:noMultiLvlLbl val="0"/>
      </c:catAx>
      <c:valAx>
        <c:axId val="297821784"/>
        <c:scaling>
          <c:orientation val="minMax"/>
        </c:scaling>
        <c:delete val="0"/>
        <c:axPos val="l"/>
        <c:majorGridlines>
          <c:spPr>
            <a:ln w="9525" cap="flat" cmpd="sng" algn="ctr">
              <a:solidFill>
                <a:schemeClr val="dk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297821392"/>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a:t>REQUERIMIENTOS POR DEPENDENCIA I. TRIMESTRE 2016</a:t>
            </a:r>
          </a:p>
        </c:rich>
      </c:tx>
      <c:layout>
        <c:manualLayout>
          <c:xMode val="edge"/>
          <c:yMode val="edge"/>
          <c:x val="0.18830555555555559"/>
          <c:y val="3.7037037037037035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GRAFICAS!$A$199</c:f>
              <c:strCache>
                <c:ptCount val="1"/>
                <c:pt idx="0">
                  <c:v>DIRECCION</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GRAFICAS!$B$199</c:f>
              <c:numCache>
                <c:formatCode>0.00%</c:formatCode>
                <c:ptCount val="1"/>
                <c:pt idx="0">
                  <c:v>1.9230769230769232E-2</c:v>
                </c:pt>
              </c:numCache>
            </c:numRef>
          </c:val>
        </c:ser>
        <c:ser>
          <c:idx val="1"/>
          <c:order val="1"/>
          <c:tx>
            <c:strRef>
              <c:f>GRAFICAS!$A$200</c:f>
              <c:strCache>
                <c:ptCount val="1"/>
                <c:pt idx="0">
                  <c:v>PLANEACION</c:v>
                </c:pt>
              </c:strCache>
            </c:strRef>
          </c:tx>
          <c:spPr>
            <a:solidFill>
              <a:schemeClr val="accent2">
                <a:alpha val="85000"/>
              </a:schemeClr>
            </a:solidFill>
            <a:ln w="9525" cap="flat" cmpd="sng" algn="ctr">
              <a:solidFill>
                <a:schemeClr val="accent2">
                  <a:lumMod val="75000"/>
                </a:schemeClr>
              </a:solidFill>
              <a:round/>
            </a:ln>
            <a:effectLst/>
            <a:sp3d contourW="9525">
              <a:contourClr>
                <a:schemeClr val="accent2">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GRAFICAS!$B$200</c:f>
              <c:numCache>
                <c:formatCode>0.00%</c:formatCode>
                <c:ptCount val="1"/>
                <c:pt idx="0">
                  <c:v>3.8461538461538464E-2</c:v>
                </c:pt>
              </c:numCache>
            </c:numRef>
          </c:val>
        </c:ser>
        <c:ser>
          <c:idx val="2"/>
          <c:order val="2"/>
          <c:tx>
            <c:strRef>
              <c:f>GRAFICAS!$A$201</c:f>
              <c:strCache>
                <c:ptCount val="1"/>
                <c:pt idx="0">
                  <c:v>JURIDICA</c:v>
                </c:pt>
              </c:strCache>
            </c:strRef>
          </c:tx>
          <c:spPr>
            <a:solidFill>
              <a:schemeClr val="accent3">
                <a:alpha val="85000"/>
              </a:schemeClr>
            </a:solidFill>
            <a:ln w="9525" cap="flat" cmpd="sng" algn="ctr">
              <a:solidFill>
                <a:schemeClr val="accent3">
                  <a:lumMod val="75000"/>
                </a:schemeClr>
              </a:solidFill>
              <a:round/>
            </a:ln>
            <a:effectLst/>
            <a:sp3d contourW="9525">
              <a:contourClr>
                <a:schemeClr val="accent3">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GRAFICAS!$B$201</c:f>
              <c:numCache>
                <c:formatCode>0.00%</c:formatCode>
                <c:ptCount val="1"/>
                <c:pt idx="0">
                  <c:v>4.807692307692308E-2</c:v>
                </c:pt>
              </c:numCache>
            </c:numRef>
          </c:val>
        </c:ser>
        <c:ser>
          <c:idx val="3"/>
          <c:order val="3"/>
          <c:tx>
            <c:strRef>
              <c:f>GRAFICAS!$A$202</c:f>
              <c:strCache>
                <c:ptCount val="1"/>
                <c:pt idx="0">
                  <c:v>COMEDORES</c:v>
                </c:pt>
              </c:strCache>
            </c:strRef>
          </c:tx>
          <c:spPr>
            <a:solidFill>
              <a:schemeClr val="accent4">
                <a:alpha val="85000"/>
              </a:schemeClr>
            </a:solidFill>
            <a:ln w="9525" cap="flat" cmpd="sng" algn="ctr">
              <a:solidFill>
                <a:schemeClr val="accent4">
                  <a:lumMod val="75000"/>
                </a:schemeClr>
              </a:solidFill>
              <a:round/>
            </a:ln>
            <a:effectLst/>
            <a:sp3d contourW="9525">
              <a:contourClr>
                <a:schemeClr val="accent4">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GRAFICAS!$B$202</c:f>
              <c:numCache>
                <c:formatCode>0.00%</c:formatCode>
                <c:ptCount val="1"/>
                <c:pt idx="0">
                  <c:v>4.807692307692308E-2</c:v>
                </c:pt>
              </c:numCache>
            </c:numRef>
          </c:val>
        </c:ser>
        <c:ser>
          <c:idx val="4"/>
          <c:order val="4"/>
          <c:tx>
            <c:strRef>
              <c:f>GRAFICAS!$A$203</c:f>
              <c:strCache>
                <c:ptCount val="1"/>
                <c:pt idx="0">
                  <c:v>SUBFINANCIERA</c:v>
                </c:pt>
              </c:strCache>
            </c:strRef>
          </c:tx>
          <c:spPr>
            <a:solidFill>
              <a:schemeClr val="accent5">
                <a:alpha val="85000"/>
              </a:schemeClr>
            </a:solidFill>
            <a:ln w="9525" cap="flat" cmpd="sng" algn="ctr">
              <a:solidFill>
                <a:schemeClr val="accent5">
                  <a:lumMod val="75000"/>
                </a:schemeClr>
              </a:solidFill>
              <a:round/>
            </a:ln>
            <a:effectLst/>
            <a:sp3d contourW="9525">
              <a:contourClr>
                <a:schemeClr val="accent5">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GRAFICAS!$B$203</c:f>
              <c:numCache>
                <c:formatCode>0.00%</c:formatCode>
                <c:ptCount val="1"/>
                <c:pt idx="0">
                  <c:v>5.7692307692307696E-2</c:v>
                </c:pt>
              </c:numCache>
            </c:numRef>
          </c:val>
        </c:ser>
        <c:ser>
          <c:idx val="5"/>
          <c:order val="5"/>
          <c:tx>
            <c:strRef>
              <c:f>GRAFICAS!$A$204</c:f>
              <c:strCache>
                <c:ptCount val="1"/>
                <c:pt idx="0">
                  <c:v>DESARROLLO HUMANO</c:v>
                </c:pt>
              </c:strCache>
            </c:strRef>
          </c:tx>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GRAFICAS!$B$204</c:f>
              <c:numCache>
                <c:formatCode>0.00%</c:formatCode>
                <c:ptCount val="1"/>
                <c:pt idx="0">
                  <c:v>6.7307692307692304E-2</c:v>
                </c:pt>
              </c:numCache>
            </c:numRef>
          </c:val>
        </c:ser>
        <c:ser>
          <c:idx val="6"/>
          <c:order val="6"/>
          <c:tx>
            <c:strRef>
              <c:f>GRAFICAS!$A$205</c:f>
              <c:strCache>
                <c:ptCount val="1"/>
                <c:pt idx="0">
                  <c:v>BAÑOS PUBLICOS</c:v>
                </c:pt>
              </c:strCache>
            </c:strRef>
          </c:tx>
          <c:spPr>
            <a:solidFill>
              <a:schemeClr val="accent1">
                <a:lumMod val="60000"/>
                <a:alpha val="85000"/>
              </a:schemeClr>
            </a:solidFill>
            <a:ln w="9525" cap="flat" cmpd="sng" algn="ctr">
              <a:solidFill>
                <a:schemeClr val="accent1">
                  <a:lumMod val="60000"/>
                  <a:lumMod val="75000"/>
                </a:schemeClr>
              </a:solidFill>
              <a:round/>
            </a:ln>
            <a:effectLst/>
            <a:sp3d contourW="9525">
              <a:contourClr>
                <a:schemeClr val="accent1">
                  <a:lumMod val="60000"/>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GRAFICAS!$B$205</c:f>
              <c:numCache>
                <c:formatCode>0.00%</c:formatCode>
                <c:ptCount val="1"/>
                <c:pt idx="0">
                  <c:v>9.6153846153846159E-2</c:v>
                </c:pt>
              </c:numCache>
            </c:numRef>
          </c:val>
        </c:ser>
        <c:ser>
          <c:idx val="7"/>
          <c:order val="7"/>
          <c:tx>
            <c:strRef>
              <c:f>GRAFICAS!$A$206</c:f>
              <c:strCache>
                <c:ptCount val="1"/>
                <c:pt idx="0">
                  <c:v>MISION BOGOTA</c:v>
                </c:pt>
              </c:strCache>
            </c:strRef>
          </c:tx>
          <c:spPr>
            <a:solidFill>
              <a:schemeClr val="accent2">
                <a:lumMod val="60000"/>
                <a:alpha val="85000"/>
              </a:schemeClr>
            </a:solidFill>
            <a:ln w="9525" cap="flat" cmpd="sng" algn="ctr">
              <a:solidFill>
                <a:schemeClr val="accent2">
                  <a:lumMod val="60000"/>
                  <a:lumMod val="75000"/>
                </a:schemeClr>
              </a:solidFill>
              <a:round/>
            </a:ln>
            <a:effectLst/>
            <a:sp3d contourW="9525">
              <a:contourClr>
                <a:schemeClr val="accent2">
                  <a:lumMod val="60000"/>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GRAFICAS!$B$206</c:f>
              <c:numCache>
                <c:formatCode>0.00%</c:formatCode>
                <c:ptCount val="1"/>
                <c:pt idx="0">
                  <c:v>0.13461538461538461</c:v>
                </c:pt>
              </c:numCache>
            </c:numRef>
          </c:val>
        </c:ser>
        <c:ser>
          <c:idx val="8"/>
          <c:order val="8"/>
          <c:tx>
            <c:strRef>
              <c:f>GRAFICAS!$A$207</c:f>
              <c:strCache>
                <c:ptCount val="1"/>
                <c:pt idx="0">
                  <c:v>SUBMETODOS</c:v>
                </c:pt>
              </c:strCache>
            </c:strRef>
          </c:tx>
          <c:spPr>
            <a:solidFill>
              <a:schemeClr val="accent3">
                <a:lumMod val="60000"/>
                <a:alpha val="85000"/>
              </a:schemeClr>
            </a:solidFill>
            <a:ln w="9525" cap="flat" cmpd="sng" algn="ctr">
              <a:solidFill>
                <a:schemeClr val="accent3">
                  <a:lumMod val="60000"/>
                  <a:lumMod val="75000"/>
                </a:schemeClr>
              </a:solidFill>
              <a:round/>
            </a:ln>
            <a:effectLst/>
            <a:sp3d contourW="9525">
              <a:contourClr>
                <a:schemeClr val="accent3">
                  <a:lumMod val="60000"/>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val>
            <c:numRef>
              <c:f>GRAFICAS!$B$207</c:f>
              <c:numCache>
                <c:formatCode>0.00%</c:formatCode>
                <c:ptCount val="1"/>
                <c:pt idx="0">
                  <c:v>0.49038461538461536</c:v>
                </c:pt>
              </c:numCache>
            </c:numRef>
          </c:val>
        </c:ser>
        <c:dLbls>
          <c:showLegendKey val="0"/>
          <c:showVal val="0"/>
          <c:showCatName val="0"/>
          <c:showSerName val="0"/>
          <c:showPercent val="0"/>
          <c:showBubbleSize val="0"/>
        </c:dLbls>
        <c:gapWidth val="65"/>
        <c:shape val="box"/>
        <c:axId val="512712872"/>
        <c:axId val="512713264"/>
        <c:axId val="0"/>
      </c:bar3DChart>
      <c:catAx>
        <c:axId val="51271287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512713264"/>
        <c:crosses val="autoZero"/>
        <c:auto val="1"/>
        <c:lblAlgn val="ctr"/>
        <c:lblOffset val="100"/>
        <c:noMultiLvlLbl val="0"/>
      </c:catAx>
      <c:valAx>
        <c:axId val="512713264"/>
        <c:scaling>
          <c:orientation val="minMax"/>
        </c:scaling>
        <c:delete val="0"/>
        <c:axPos val="l"/>
        <c:majorGridlines>
          <c:spPr>
            <a:ln w="9525" cap="flat" cmpd="sng" algn="ctr">
              <a:solidFill>
                <a:schemeClr val="dk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512712872"/>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jpeg"/><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3</xdr:col>
      <xdr:colOff>911677</xdr:colOff>
      <xdr:row>3</xdr:row>
      <xdr:rowOff>217714</xdr:rowOff>
    </xdr:to>
    <xdr:pic>
      <xdr:nvPicPr>
        <xdr:cNvPr id="2" name="Imagen 3" descr="Nuevo LogoSimbolo"/>
        <xdr:cNvPicPr>
          <a:picLocks noChangeAspect="1" noChangeArrowheads="1"/>
        </xdr:cNvPicPr>
      </xdr:nvPicPr>
      <xdr:blipFill>
        <a:blip xmlns:r="http://schemas.openxmlformats.org/officeDocument/2006/relationships" r:embed="rId1" cstate="print"/>
        <a:srcRect/>
        <a:stretch>
          <a:fillRect/>
        </a:stretch>
      </xdr:blipFill>
      <xdr:spPr bwMode="auto">
        <a:xfrm>
          <a:off x="0" y="1"/>
          <a:ext cx="2626177" cy="960663"/>
        </a:xfrm>
        <a:prstGeom prst="rect">
          <a:avLst/>
        </a:prstGeom>
        <a:noFill/>
        <a:ln w="9525">
          <a:noFill/>
          <a:miter lim="800000"/>
          <a:headEnd/>
          <a:tailEnd/>
        </a:ln>
      </xdr:spPr>
    </xdr:pic>
    <xdr:clientData/>
  </xdr:twoCellAnchor>
  <xdr:oneCellAnchor>
    <xdr:from>
      <xdr:col>11</xdr:col>
      <xdr:colOff>233136</xdr:colOff>
      <xdr:row>0</xdr:row>
      <xdr:rowOff>0</xdr:rowOff>
    </xdr:from>
    <xdr:ext cx="765313" cy="190500"/>
    <xdr:sp macro="" textlink="">
      <xdr:nvSpPr>
        <xdr:cNvPr id="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2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2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2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2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2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2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3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4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4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4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4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4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5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5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5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6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6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6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7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7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7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7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7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8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9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9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9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9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9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9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1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1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1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1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1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1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2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2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2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2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3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3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3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3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3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4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4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4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5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5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5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6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6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6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6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6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7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8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8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8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8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8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8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8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8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8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8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9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9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9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9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9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9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9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9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9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9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0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20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20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20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20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20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20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0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0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0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1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1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1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1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1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1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1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1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1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21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22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22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22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22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22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2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2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2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2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2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3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3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3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3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3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3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3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23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23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23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24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24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24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4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4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4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4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4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4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4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5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5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5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5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5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25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25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25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25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25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26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6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6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6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6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6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6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6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6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6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7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7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7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27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27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27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27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27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27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7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8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8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8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8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8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8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8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8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8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8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9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29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29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29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29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29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29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9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9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9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0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0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0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0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0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0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0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0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0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30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31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31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31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31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31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1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1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1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1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1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2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2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2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2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2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2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2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32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32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32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33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33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33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3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3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3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3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3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3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3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4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4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4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4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4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34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34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34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34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34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35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5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5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5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5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5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5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5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5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5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6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6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6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36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36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36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36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36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36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6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7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7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7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7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7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7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7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7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7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7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8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38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38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38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38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38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38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8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8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8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9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9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9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9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9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9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9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9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9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39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40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40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40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40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40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0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0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0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0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0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1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1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1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1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1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1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1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41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41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41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42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42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42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2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2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2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2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2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2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2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3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3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3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3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3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43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43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43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43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43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44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4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4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4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4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4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4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4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4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4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5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5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5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45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45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45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45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45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45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5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6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6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6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6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6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6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6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6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6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6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7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47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47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47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47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47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47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7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7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7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8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8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8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8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8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8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8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8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8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48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49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49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49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49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49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9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9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9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9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9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0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0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0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0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0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0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0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50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50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50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51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51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51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1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1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1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1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1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1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1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2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2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2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2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2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52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52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52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52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52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53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3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3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3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3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3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3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3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3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3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4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4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4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54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54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54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54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54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54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4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5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5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5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5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5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5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5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5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5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5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6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56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56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56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56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56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56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6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6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6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7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7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7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7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7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7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7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7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7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57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58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58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58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58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58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8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8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8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8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8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9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9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9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9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9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9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9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59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59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59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60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60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60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0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0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0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0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0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0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0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1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1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1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1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1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61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61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61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61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61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62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2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2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2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2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2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2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2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2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2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3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3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3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63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63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63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63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63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63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3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4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4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4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4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4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4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4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4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4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4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5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2</xdr:row>
      <xdr:rowOff>0</xdr:rowOff>
    </xdr:from>
    <xdr:ext cx="765313" cy="190500"/>
    <xdr:sp macro="" textlink="">
      <xdr:nvSpPr>
        <xdr:cNvPr id="651" name="Control 1" hidden="1">
          <a:extLst>
            <a:ext uri="{63B3BB69-23CF-44E3-9099-C40C66FF867C}">
              <a14:compatExt xmlns:a14="http://schemas.microsoft.com/office/drawing/2010/main" spid="_x0000_s1025"/>
            </a:ext>
          </a:extLst>
        </xdr:cNvPr>
        <xdr:cNvSpPr/>
      </xdr:nvSpPr>
      <xdr:spPr bwMode="auto">
        <a:xfrm>
          <a:off x="15292161" y="495300"/>
          <a:ext cx="765313" cy="190500"/>
        </a:xfrm>
        <a:prstGeom prst="rect">
          <a:avLst/>
        </a:prstGeom>
        <a:noFill/>
        <a:ln w="9525">
          <a:miter lim="800000"/>
          <a:headEnd/>
          <a:tailEnd/>
        </a:ln>
      </xdr:spPr>
    </xdr:sp>
    <xdr:clientData/>
  </xdr:oneCellAnchor>
  <xdr:oneCellAnchor>
    <xdr:from>
      <xdr:col>11</xdr:col>
      <xdr:colOff>233136</xdr:colOff>
      <xdr:row>2</xdr:row>
      <xdr:rowOff>0</xdr:rowOff>
    </xdr:from>
    <xdr:ext cx="765313" cy="190500"/>
    <xdr:sp macro="" textlink="">
      <xdr:nvSpPr>
        <xdr:cNvPr id="652" name="Control 2" hidden="1">
          <a:extLst>
            <a:ext uri="{63B3BB69-23CF-44E3-9099-C40C66FF867C}">
              <a14:compatExt xmlns:a14="http://schemas.microsoft.com/office/drawing/2010/main" spid="_x0000_s1026"/>
            </a:ext>
          </a:extLst>
        </xdr:cNvPr>
        <xdr:cNvSpPr/>
      </xdr:nvSpPr>
      <xdr:spPr bwMode="auto">
        <a:xfrm>
          <a:off x="15292161" y="495300"/>
          <a:ext cx="765313" cy="190500"/>
        </a:xfrm>
        <a:prstGeom prst="rect">
          <a:avLst/>
        </a:prstGeom>
        <a:noFill/>
        <a:ln w="9525">
          <a:miter lim="800000"/>
          <a:headEnd/>
          <a:tailEnd/>
        </a:ln>
      </xdr:spPr>
    </xdr:sp>
    <xdr:clientData/>
  </xdr:oneCellAnchor>
  <xdr:oneCellAnchor>
    <xdr:from>
      <xdr:col>11</xdr:col>
      <xdr:colOff>347436</xdr:colOff>
      <xdr:row>2</xdr:row>
      <xdr:rowOff>0</xdr:rowOff>
    </xdr:from>
    <xdr:ext cx="765313" cy="190500"/>
    <xdr:sp macro="" textlink="">
      <xdr:nvSpPr>
        <xdr:cNvPr id="653" name="Control 3" hidden="1">
          <a:extLst>
            <a:ext uri="{63B3BB69-23CF-44E3-9099-C40C66FF867C}">
              <a14:compatExt xmlns:a14="http://schemas.microsoft.com/office/drawing/2010/main" spid="_x0000_s1027"/>
            </a:ext>
          </a:extLst>
        </xdr:cNvPr>
        <xdr:cNvSpPr/>
      </xdr:nvSpPr>
      <xdr:spPr bwMode="auto">
        <a:xfrm>
          <a:off x="15406461" y="495300"/>
          <a:ext cx="765313" cy="190500"/>
        </a:xfrm>
        <a:prstGeom prst="rect">
          <a:avLst/>
        </a:prstGeom>
        <a:noFill/>
        <a:ln w="9525">
          <a:miter lim="800000"/>
          <a:headEnd/>
          <a:tailEnd/>
        </a:ln>
      </xdr:spPr>
    </xdr:sp>
    <xdr:clientData/>
  </xdr:oneCellAnchor>
  <xdr:oneCellAnchor>
    <xdr:from>
      <xdr:col>11</xdr:col>
      <xdr:colOff>228600</xdr:colOff>
      <xdr:row>2</xdr:row>
      <xdr:rowOff>0</xdr:rowOff>
    </xdr:from>
    <xdr:ext cx="765313" cy="190500"/>
    <xdr:pic>
      <xdr:nvPicPr>
        <xdr:cNvPr id="65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495300"/>
          <a:ext cx="765313" cy="190500"/>
        </a:xfrm>
        <a:prstGeom prst="rect">
          <a:avLst/>
        </a:prstGeom>
        <a:noFill/>
        <a:ln w="9525">
          <a:miter lim="800000"/>
          <a:headEnd/>
          <a:tailEnd/>
        </a:ln>
      </xdr:spPr>
    </xdr:pic>
    <xdr:clientData/>
  </xdr:oneCellAnchor>
  <xdr:oneCellAnchor>
    <xdr:from>
      <xdr:col>11</xdr:col>
      <xdr:colOff>228600</xdr:colOff>
      <xdr:row>2</xdr:row>
      <xdr:rowOff>0</xdr:rowOff>
    </xdr:from>
    <xdr:ext cx="765313" cy="190500"/>
    <xdr:pic>
      <xdr:nvPicPr>
        <xdr:cNvPr id="65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495300"/>
          <a:ext cx="765313" cy="190500"/>
        </a:xfrm>
        <a:prstGeom prst="rect">
          <a:avLst/>
        </a:prstGeom>
        <a:noFill/>
        <a:ln w="9525">
          <a:miter lim="800000"/>
          <a:headEnd/>
          <a:tailEnd/>
        </a:ln>
      </xdr:spPr>
    </xdr:pic>
    <xdr:clientData/>
  </xdr:oneCellAnchor>
  <xdr:oneCellAnchor>
    <xdr:from>
      <xdr:col>11</xdr:col>
      <xdr:colOff>342900</xdr:colOff>
      <xdr:row>2</xdr:row>
      <xdr:rowOff>0</xdr:rowOff>
    </xdr:from>
    <xdr:ext cx="765313" cy="190500"/>
    <xdr:pic>
      <xdr:nvPicPr>
        <xdr:cNvPr id="65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495300"/>
          <a:ext cx="765313" cy="190500"/>
        </a:xfrm>
        <a:prstGeom prst="rect">
          <a:avLst/>
        </a:prstGeom>
        <a:noFill/>
        <a:ln w="9525">
          <a:miter lim="800000"/>
          <a:headEnd/>
          <a:tailEnd/>
        </a:ln>
      </xdr:spPr>
    </xdr:pic>
    <xdr:clientData/>
  </xdr:oneCellAnchor>
  <xdr:oneCellAnchor>
    <xdr:from>
      <xdr:col>11</xdr:col>
      <xdr:colOff>233136</xdr:colOff>
      <xdr:row>2</xdr:row>
      <xdr:rowOff>0</xdr:rowOff>
    </xdr:from>
    <xdr:ext cx="765313" cy="190994"/>
    <xdr:sp macro="" textlink="">
      <xdr:nvSpPr>
        <xdr:cNvPr id="657" name="Control 1" hidden="1">
          <a:extLst>
            <a:ext uri="{63B3BB69-23CF-44E3-9099-C40C66FF867C}">
              <a14:compatExt xmlns:a14="http://schemas.microsoft.com/office/drawing/2010/main" spid="_x0000_s1025"/>
            </a:ext>
          </a:extLst>
        </xdr:cNvPr>
        <xdr:cNvSpPr/>
      </xdr:nvSpPr>
      <xdr:spPr bwMode="auto">
        <a:xfrm>
          <a:off x="15292161" y="495300"/>
          <a:ext cx="765313" cy="190994"/>
        </a:xfrm>
        <a:prstGeom prst="rect">
          <a:avLst/>
        </a:prstGeom>
        <a:noFill/>
        <a:ln w="9525">
          <a:miter lim="800000"/>
          <a:headEnd/>
          <a:tailEnd/>
        </a:ln>
      </xdr:spPr>
    </xdr:sp>
    <xdr:clientData/>
  </xdr:oneCellAnchor>
  <xdr:oneCellAnchor>
    <xdr:from>
      <xdr:col>11</xdr:col>
      <xdr:colOff>233136</xdr:colOff>
      <xdr:row>2</xdr:row>
      <xdr:rowOff>0</xdr:rowOff>
    </xdr:from>
    <xdr:ext cx="765313" cy="190994"/>
    <xdr:sp macro="" textlink="">
      <xdr:nvSpPr>
        <xdr:cNvPr id="658" name="Control 2" hidden="1">
          <a:extLst>
            <a:ext uri="{63B3BB69-23CF-44E3-9099-C40C66FF867C}">
              <a14:compatExt xmlns:a14="http://schemas.microsoft.com/office/drawing/2010/main" spid="_x0000_s1026"/>
            </a:ext>
          </a:extLst>
        </xdr:cNvPr>
        <xdr:cNvSpPr/>
      </xdr:nvSpPr>
      <xdr:spPr bwMode="auto">
        <a:xfrm>
          <a:off x="15292161" y="495300"/>
          <a:ext cx="765313" cy="190994"/>
        </a:xfrm>
        <a:prstGeom prst="rect">
          <a:avLst/>
        </a:prstGeom>
        <a:noFill/>
        <a:ln w="9525">
          <a:miter lim="800000"/>
          <a:headEnd/>
          <a:tailEnd/>
        </a:ln>
      </xdr:spPr>
    </xdr:sp>
    <xdr:clientData/>
  </xdr:oneCellAnchor>
  <xdr:oneCellAnchor>
    <xdr:from>
      <xdr:col>11</xdr:col>
      <xdr:colOff>347436</xdr:colOff>
      <xdr:row>2</xdr:row>
      <xdr:rowOff>0</xdr:rowOff>
    </xdr:from>
    <xdr:ext cx="765313" cy="190994"/>
    <xdr:sp macro="" textlink="">
      <xdr:nvSpPr>
        <xdr:cNvPr id="659" name="Control 3" hidden="1">
          <a:extLst>
            <a:ext uri="{63B3BB69-23CF-44E3-9099-C40C66FF867C}">
              <a14:compatExt xmlns:a14="http://schemas.microsoft.com/office/drawing/2010/main" spid="_x0000_s1027"/>
            </a:ext>
          </a:extLst>
        </xdr:cNvPr>
        <xdr:cNvSpPr/>
      </xdr:nvSpPr>
      <xdr:spPr bwMode="auto">
        <a:xfrm>
          <a:off x="15406461" y="495300"/>
          <a:ext cx="765313" cy="190994"/>
        </a:xfrm>
        <a:prstGeom prst="rect">
          <a:avLst/>
        </a:prstGeom>
        <a:noFill/>
        <a:ln w="9525">
          <a:miter lim="800000"/>
          <a:headEnd/>
          <a:tailEnd/>
        </a:ln>
      </xdr:spPr>
    </xdr:sp>
    <xdr:clientData/>
  </xdr:oneCellAnchor>
  <xdr:oneCellAnchor>
    <xdr:from>
      <xdr:col>11</xdr:col>
      <xdr:colOff>228600</xdr:colOff>
      <xdr:row>2</xdr:row>
      <xdr:rowOff>0</xdr:rowOff>
    </xdr:from>
    <xdr:ext cx="765313" cy="193262"/>
    <xdr:pic>
      <xdr:nvPicPr>
        <xdr:cNvPr id="66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495300"/>
          <a:ext cx="765313" cy="193262"/>
        </a:xfrm>
        <a:prstGeom prst="rect">
          <a:avLst/>
        </a:prstGeom>
        <a:noFill/>
        <a:ln w="9525">
          <a:miter lim="800000"/>
          <a:headEnd/>
          <a:tailEnd/>
        </a:ln>
      </xdr:spPr>
    </xdr:pic>
    <xdr:clientData/>
  </xdr:oneCellAnchor>
  <xdr:oneCellAnchor>
    <xdr:from>
      <xdr:col>11</xdr:col>
      <xdr:colOff>228600</xdr:colOff>
      <xdr:row>2</xdr:row>
      <xdr:rowOff>0</xdr:rowOff>
    </xdr:from>
    <xdr:ext cx="765313" cy="193262"/>
    <xdr:pic>
      <xdr:nvPicPr>
        <xdr:cNvPr id="66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495300"/>
          <a:ext cx="765313" cy="193262"/>
        </a:xfrm>
        <a:prstGeom prst="rect">
          <a:avLst/>
        </a:prstGeom>
        <a:noFill/>
        <a:ln w="9525">
          <a:miter lim="800000"/>
          <a:headEnd/>
          <a:tailEnd/>
        </a:ln>
      </xdr:spPr>
    </xdr:pic>
    <xdr:clientData/>
  </xdr:oneCellAnchor>
  <xdr:oneCellAnchor>
    <xdr:from>
      <xdr:col>11</xdr:col>
      <xdr:colOff>342900</xdr:colOff>
      <xdr:row>2</xdr:row>
      <xdr:rowOff>0</xdr:rowOff>
    </xdr:from>
    <xdr:ext cx="765313" cy="193262"/>
    <xdr:pic>
      <xdr:nvPicPr>
        <xdr:cNvPr id="66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495300"/>
          <a:ext cx="765313" cy="193262"/>
        </a:xfrm>
        <a:prstGeom prst="rect">
          <a:avLst/>
        </a:prstGeom>
        <a:noFill/>
        <a:ln w="9525">
          <a:miter lim="800000"/>
          <a:headEnd/>
          <a:tailEnd/>
        </a:ln>
      </xdr:spPr>
    </xdr:pic>
    <xdr:clientData/>
  </xdr:oneCellAnchor>
  <xdr:oneCellAnchor>
    <xdr:from>
      <xdr:col>11</xdr:col>
      <xdr:colOff>233136</xdr:colOff>
      <xdr:row>2</xdr:row>
      <xdr:rowOff>0</xdr:rowOff>
    </xdr:from>
    <xdr:ext cx="765313" cy="190994"/>
    <xdr:sp macro="" textlink="">
      <xdr:nvSpPr>
        <xdr:cNvPr id="663" name="Control 1" hidden="1">
          <a:extLst>
            <a:ext uri="{63B3BB69-23CF-44E3-9099-C40C66FF867C}">
              <a14:compatExt xmlns:a14="http://schemas.microsoft.com/office/drawing/2010/main" spid="_x0000_s1025"/>
            </a:ext>
          </a:extLst>
        </xdr:cNvPr>
        <xdr:cNvSpPr/>
      </xdr:nvSpPr>
      <xdr:spPr bwMode="auto">
        <a:xfrm>
          <a:off x="15292161" y="495300"/>
          <a:ext cx="765313" cy="190994"/>
        </a:xfrm>
        <a:prstGeom prst="rect">
          <a:avLst/>
        </a:prstGeom>
        <a:noFill/>
        <a:ln w="9525">
          <a:miter lim="800000"/>
          <a:headEnd/>
          <a:tailEnd/>
        </a:ln>
      </xdr:spPr>
    </xdr:sp>
    <xdr:clientData/>
  </xdr:oneCellAnchor>
  <xdr:oneCellAnchor>
    <xdr:from>
      <xdr:col>11</xdr:col>
      <xdr:colOff>233136</xdr:colOff>
      <xdr:row>2</xdr:row>
      <xdr:rowOff>0</xdr:rowOff>
    </xdr:from>
    <xdr:ext cx="765313" cy="190994"/>
    <xdr:sp macro="" textlink="">
      <xdr:nvSpPr>
        <xdr:cNvPr id="664" name="Control 2" hidden="1">
          <a:extLst>
            <a:ext uri="{63B3BB69-23CF-44E3-9099-C40C66FF867C}">
              <a14:compatExt xmlns:a14="http://schemas.microsoft.com/office/drawing/2010/main" spid="_x0000_s1026"/>
            </a:ext>
          </a:extLst>
        </xdr:cNvPr>
        <xdr:cNvSpPr/>
      </xdr:nvSpPr>
      <xdr:spPr bwMode="auto">
        <a:xfrm>
          <a:off x="15292161" y="495300"/>
          <a:ext cx="765313" cy="190994"/>
        </a:xfrm>
        <a:prstGeom prst="rect">
          <a:avLst/>
        </a:prstGeom>
        <a:noFill/>
        <a:ln w="9525">
          <a:miter lim="800000"/>
          <a:headEnd/>
          <a:tailEnd/>
        </a:ln>
      </xdr:spPr>
    </xdr:sp>
    <xdr:clientData/>
  </xdr:oneCellAnchor>
  <xdr:oneCellAnchor>
    <xdr:from>
      <xdr:col>11</xdr:col>
      <xdr:colOff>347436</xdr:colOff>
      <xdr:row>2</xdr:row>
      <xdr:rowOff>0</xdr:rowOff>
    </xdr:from>
    <xdr:ext cx="765313" cy="190994"/>
    <xdr:sp macro="" textlink="">
      <xdr:nvSpPr>
        <xdr:cNvPr id="665" name="Control 3" hidden="1">
          <a:extLst>
            <a:ext uri="{63B3BB69-23CF-44E3-9099-C40C66FF867C}">
              <a14:compatExt xmlns:a14="http://schemas.microsoft.com/office/drawing/2010/main" spid="_x0000_s1027"/>
            </a:ext>
          </a:extLst>
        </xdr:cNvPr>
        <xdr:cNvSpPr/>
      </xdr:nvSpPr>
      <xdr:spPr bwMode="auto">
        <a:xfrm>
          <a:off x="15406461" y="495300"/>
          <a:ext cx="765313" cy="190994"/>
        </a:xfrm>
        <a:prstGeom prst="rect">
          <a:avLst/>
        </a:prstGeom>
        <a:noFill/>
        <a:ln w="9525">
          <a:miter lim="800000"/>
          <a:headEnd/>
          <a:tailEnd/>
        </a:ln>
      </xdr:spPr>
    </xdr:sp>
    <xdr:clientData/>
  </xdr:oneCellAnchor>
  <xdr:oneCellAnchor>
    <xdr:from>
      <xdr:col>11</xdr:col>
      <xdr:colOff>228600</xdr:colOff>
      <xdr:row>2</xdr:row>
      <xdr:rowOff>0</xdr:rowOff>
    </xdr:from>
    <xdr:ext cx="765313" cy="193262"/>
    <xdr:pic>
      <xdr:nvPicPr>
        <xdr:cNvPr id="66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495300"/>
          <a:ext cx="765313" cy="193262"/>
        </a:xfrm>
        <a:prstGeom prst="rect">
          <a:avLst/>
        </a:prstGeom>
        <a:noFill/>
        <a:ln w="9525">
          <a:miter lim="800000"/>
          <a:headEnd/>
          <a:tailEnd/>
        </a:ln>
      </xdr:spPr>
    </xdr:pic>
    <xdr:clientData/>
  </xdr:oneCellAnchor>
  <xdr:oneCellAnchor>
    <xdr:from>
      <xdr:col>11</xdr:col>
      <xdr:colOff>228600</xdr:colOff>
      <xdr:row>2</xdr:row>
      <xdr:rowOff>0</xdr:rowOff>
    </xdr:from>
    <xdr:ext cx="765313" cy="193262"/>
    <xdr:pic>
      <xdr:nvPicPr>
        <xdr:cNvPr id="66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495300"/>
          <a:ext cx="765313" cy="193262"/>
        </a:xfrm>
        <a:prstGeom prst="rect">
          <a:avLst/>
        </a:prstGeom>
        <a:noFill/>
        <a:ln w="9525">
          <a:miter lim="800000"/>
          <a:headEnd/>
          <a:tailEnd/>
        </a:ln>
      </xdr:spPr>
    </xdr:pic>
    <xdr:clientData/>
  </xdr:oneCellAnchor>
  <xdr:oneCellAnchor>
    <xdr:from>
      <xdr:col>11</xdr:col>
      <xdr:colOff>342900</xdr:colOff>
      <xdr:row>2</xdr:row>
      <xdr:rowOff>0</xdr:rowOff>
    </xdr:from>
    <xdr:ext cx="765313" cy="193262"/>
    <xdr:pic>
      <xdr:nvPicPr>
        <xdr:cNvPr id="66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49530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66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67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67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67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67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67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7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7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7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7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7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8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8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8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8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8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8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8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68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68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68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69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69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69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9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9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9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9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9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9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9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0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0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0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0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0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70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70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70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70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70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71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1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1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1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1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1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1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1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1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1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2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2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2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72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72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72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72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72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72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2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3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3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3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3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3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3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3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3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3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3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4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74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74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74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74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74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74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4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4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4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5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5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5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5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5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5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5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5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5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75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76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76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76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76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76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6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6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6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6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6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7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7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7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7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7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7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7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77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77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77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78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78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78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8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8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8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8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8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8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8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9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9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9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9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9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79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79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79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79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79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80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0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0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0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0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0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0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0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0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0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1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1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1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81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81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81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81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81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81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1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2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2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2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2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2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2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2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2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2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2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3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83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83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83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83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83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83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3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3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3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4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4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4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4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4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4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4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4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4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84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85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85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85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85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85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5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5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5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5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5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6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6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6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6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6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6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6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86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86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86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87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87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87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7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7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7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7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7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7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7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8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8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8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8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8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500"/>
    <xdr:sp macro="" textlink="">
      <xdr:nvSpPr>
        <xdr:cNvPr id="885" name="Control 1" hidden="1">
          <a:extLst>
            <a:ext uri="{63B3BB69-23CF-44E3-9099-C40C66FF867C}">
              <a14:compatExt xmlns:a14="http://schemas.microsoft.com/office/drawing/2010/main" spid="_x0000_s1025"/>
            </a:ext>
          </a:extLst>
        </xdr:cNvPr>
        <xdr:cNvSpPr/>
      </xdr:nvSpPr>
      <xdr:spPr bwMode="auto">
        <a:xfrm>
          <a:off x="15292161" y="247650"/>
          <a:ext cx="765313" cy="190500"/>
        </a:xfrm>
        <a:prstGeom prst="rect">
          <a:avLst/>
        </a:prstGeom>
        <a:noFill/>
        <a:ln w="9525">
          <a:miter lim="800000"/>
          <a:headEnd/>
          <a:tailEnd/>
        </a:ln>
      </xdr:spPr>
    </xdr:sp>
    <xdr:clientData/>
  </xdr:oneCellAnchor>
  <xdr:oneCellAnchor>
    <xdr:from>
      <xdr:col>11</xdr:col>
      <xdr:colOff>233136</xdr:colOff>
      <xdr:row>1</xdr:row>
      <xdr:rowOff>0</xdr:rowOff>
    </xdr:from>
    <xdr:ext cx="765313" cy="190500"/>
    <xdr:sp macro="" textlink="">
      <xdr:nvSpPr>
        <xdr:cNvPr id="886" name="Control 2" hidden="1">
          <a:extLst>
            <a:ext uri="{63B3BB69-23CF-44E3-9099-C40C66FF867C}">
              <a14:compatExt xmlns:a14="http://schemas.microsoft.com/office/drawing/2010/main" spid="_x0000_s1026"/>
            </a:ext>
          </a:extLst>
        </xdr:cNvPr>
        <xdr:cNvSpPr/>
      </xdr:nvSpPr>
      <xdr:spPr bwMode="auto">
        <a:xfrm>
          <a:off x="15292161" y="247650"/>
          <a:ext cx="765313" cy="190500"/>
        </a:xfrm>
        <a:prstGeom prst="rect">
          <a:avLst/>
        </a:prstGeom>
        <a:noFill/>
        <a:ln w="9525">
          <a:miter lim="800000"/>
          <a:headEnd/>
          <a:tailEnd/>
        </a:ln>
      </xdr:spPr>
    </xdr:sp>
    <xdr:clientData/>
  </xdr:oneCellAnchor>
  <xdr:oneCellAnchor>
    <xdr:from>
      <xdr:col>11</xdr:col>
      <xdr:colOff>347436</xdr:colOff>
      <xdr:row>1</xdr:row>
      <xdr:rowOff>0</xdr:rowOff>
    </xdr:from>
    <xdr:ext cx="765313" cy="190500"/>
    <xdr:sp macro="" textlink="">
      <xdr:nvSpPr>
        <xdr:cNvPr id="887" name="Control 3" hidden="1">
          <a:extLst>
            <a:ext uri="{63B3BB69-23CF-44E3-9099-C40C66FF867C}">
              <a14:compatExt xmlns:a14="http://schemas.microsoft.com/office/drawing/2010/main" spid="_x0000_s1027"/>
            </a:ext>
          </a:extLst>
        </xdr:cNvPr>
        <xdr:cNvSpPr/>
      </xdr:nvSpPr>
      <xdr:spPr bwMode="auto">
        <a:xfrm>
          <a:off x="15406461" y="247650"/>
          <a:ext cx="765313" cy="190500"/>
        </a:xfrm>
        <a:prstGeom prst="rect">
          <a:avLst/>
        </a:prstGeom>
        <a:noFill/>
        <a:ln w="9525">
          <a:miter lim="800000"/>
          <a:headEnd/>
          <a:tailEnd/>
        </a:ln>
      </xdr:spPr>
    </xdr:sp>
    <xdr:clientData/>
  </xdr:oneCellAnchor>
  <xdr:oneCellAnchor>
    <xdr:from>
      <xdr:col>11</xdr:col>
      <xdr:colOff>228600</xdr:colOff>
      <xdr:row>1</xdr:row>
      <xdr:rowOff>0</xdr:rowOff>
    </xdr:from>
    <xdr:ext cx="765313" cy="190500"/>
    <xdr:pic>
      <xdr:nvPicPr>
        <xdr:cNvPr id="88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0500"/>
        </a:xfrm>
        <a:prstGeom prst="rect">
          <a:avLst/>
        </a:prstGeom>
        <a:noFill/>
        <a:ln w="9525">
          <a:miter lim="800000"/>
          <a:headEnd/>
          <a:tailEnd/>
        </a:ln>
      </xdr:spPr>
    </xdr:pic>
    <xdr:clientData/>
  </xdr:oneCellAnchor>
  <xdr:oneCellAnchor>
    <xdr:from>
      <xdr:col>11</xdr:col>
      <xdr:colOff>228600</xdr:colOff>
      <xdr:row>1</xdr:row>
      <xdr:rowOff>0</xdr:rowOff>
    </xdr:from>
    <xdr:ext cx="765313" cy="190500"/>
    <xdr:pic>
      <xdr:nvPicPr>
        <xdr:cNvPr id="88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0500"/>
        </a:xfrm>
        <a:prstGeom prst="rect">
          <a:avLst/>
        </a:prstGeom>
        <a:noFill/>
        <a:ln w="9525">
          <a:miter lim="800000"/>
          <a:headEnd/>
          <a:tailEnd/>
        </a:ln>
      </xdr:spPr>
    </xdr:pic>
    <xdr:clientData/>
  </xdr:oneCellAnchor>
  <xdr:oneCellAnchor>
    <xdr:from>
      <xdr:col>11</xdr:col>
      <xdr:colOff>342900</xdr:colOff>
      <xdr:row>1</xdr:row>
      <xdr:rowOff>0</xdr:rowOff>
    </xdr:from>
    <xdr:ext cx="765313" cy="190500"/>
    <xdr:pic>
      <xdr:nvPicPr>
        <xdr:cNvPr id="89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0500"/>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891" name="Control 1" hidden="1">
          <a:extLst>
            <a:ext uri="{63B3BB69-23CF-44E3-9099-C40C66FF867C}">
              <a14:compatExt xmlns:a14="http://schemas.microsoft.com/office/drawing/2010/main" spid="_x0000_s1025"/>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892" name="Control 2" hidden="1">
          <a:extLst>
            <a:ext uri="{63B3BB69-23CF-44E3-9099-C40C66FF867C}">
              <a14:compatExt xmlns:a14="http://schemas.microsoft.com/office/drawing/2010/main" spid="_x0000_s1026"/>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893" name="Control 3" hidden="1">
          <a:extLst>
            <a:ext uri="{63B3BB69-23CF-44E3-9099-C40C66FF867C}">
              <a14:compatExt xmlns:a14="http://schemas.microsoft.com/office/drawing/2010/main" spid="_x0000_s1027"/>
            </a:ext>
          </a:extLst>
        </xdr:cNvPr>
        <xdr:cNvSpPr/>
      </xdr:nvSpPr>
      <xdr:spPr bwMode="auto">
        <a:xfrm>
          <a:off x="15406461" y="24765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89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89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89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897" name="Control 1" hidden="1">
          <a:extLst>
            <a:ext uri="{63B3BB69-23CF-44E3-9099-C40C66FF867C}">
              <a14:compatExt xmlns:a14="http://schemas.microsoft.com/office/drawing/2010/main" spid="_x0000_s1025"/>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898" name="Control 2" hidden="1">
          <a:extLst>
            <a:ext uri="{63B3BB69-23CF-44E3-9099-C40C66FF867C}">
              <a14:compatExt xmlns:a14="http://schemas.microsoft.com/office/drawing/2010/main" spid="_x0000_s1026"/>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899" name="Control 3" hidden="1">
          <a:extLst>
            <a:ext uri="{63B3BB69-23CF-44E3-9099-C40C66FF867C}">
              <a14:compatExt xmlns:a14="http://schemas.microsoft.com/office/drawing/2010/main" spid="_x0000_s1027"/>
            </a:ext>
          </a:extLst>
        </xdr:cNvPr>
        <xdr:cNvSpPr/>
      </xdr:nvSpPr>
      <xdr:spPr bwMode="auto">
        <a:xfrm>
          <a:off x="15406461" y="24765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90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90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90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90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90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90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90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90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90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0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1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1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1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1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1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1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1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1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1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1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2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92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92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92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92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92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92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2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2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2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3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3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3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3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3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3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3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3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3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93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94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94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94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94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94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4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4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4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4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4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5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5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5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5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5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5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5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95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95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95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96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96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96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6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6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6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6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6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6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6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7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7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7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7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7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97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97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97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97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97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98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8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8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8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8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8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8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8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8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8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9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9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9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500"/>
    <xdr:sp macro="" textlink="">
      <xdr:nvSpPr>
        <xdr:cNvPr id="993" name="Control 1" hidden="1">
          <a:extLst>
            <a:ext uri="{63B3BB69-23CF-44E3-9099-C40C66FF867C}">
              <a14:compatExt xmlns:a14="http://schemas.microsoft.com/office/drawing/2010/main" spid="_x0000_s1025"/>
            </a:ext>
          </a:extLst>
        </xdr:cNvPr>
        <xdr:cNvSpPr/>
      </xdr:nvSpPr>
      <xdr:spPr bwMode="auto">
        <a:xfrm>
          <a:off x="15292161" y="247650"/>
          <a:ext cx="765313" cy="190500"/>
        </a:xfrm>
        <a:prstGeom prst="rect">
          <a:avLst/>
        </a:prstGeom>
        <a:noFill/>
        <a:ln w="9525">
          <a:miter lim="800000"/>
          <a:headEnd/>
          <a:tailEnd/>
        </a:ln>
      </xdr:spPr>
    </xdr:sp>
    <xdr:clientData/>
  </xdr:oneCellAnchor>
  <xdr:oneCellAnchor>
    <xdr:from>
      <xdr:col>11</xdr:col>
      <xdr:colOff>233136</xdr:colOff>
      <xdr:row>1</xdr:row>
      <xdr:rowOff>0</xdr:rowOff>
    </xdr:from>
    <xdr:ext cx="765313" cy="190500"/>
    <xdr:sp macro="" textlink="">
      <xdr:nvSpPr>
        <xdr:cNvPr id="994" name="Control 2" hidden="1">
          <a:extLst>
            <a:ext uri="{63B3BB69-23CF-44E3-9099-C40C66FF867C}">
              <a14:compatExt xmlns:a14="http://schemas.microsoft.com/office/drawing/2010/main" spid="_x0000_s1026"/>
            </a:ext>
          </a:extLst>
        </xdr:cNvPr>
        <xdr:cNvSpPr/>
      </xdr:nvSpPr>
      <xdr:spPr bwMode="auto">
        <a:xfrm>
          <a:off x="15292161" y="247650"/>
          <a:ext cx="765313" cy="190500"/>
        </a:xfrm>
        <a:prstGeom prst="rect">
          <a:avLst/>
        </a:prstGeom>
        <a:noFill/>
        <a:ln w="9525">
          <a:miter lim="800000"/>
          <a:headEnd/>
          <a:tailEnd/>
        </a:ln>
      </xdr:spPr>
    </xdr:sp>
    <xdr:clientData/>
  </xdr:oneCellAnchor>
  <xdr:oneCellAnchor>
    <xdr:from>
      <xdr:col>11</xdr:col>
      <xdr:colOff>347436</xdr:colOff>
      <xdr:row>1</xdr:row>
      <xdr:rowOff>0</xdr:rowOff>
    </xdr:from>
    <xdr:ext cx="765313" cy="190500"/>
    <xdr:sp macro="" textlink="">
      <xdr:nvSpPr>
        <xdr:cNvPr id="995" name="Control 3" hidden="1">
          <a:extLst>
            <a:ext uri="{63B3BB69-23CF-44E3-9099-C40C66FF867C}">
              <a14:compatExt xmlns:a14="http://schemas.microsoft.com/office/drawing/2010/main" spid="_x0000_s1027"/>
            </a:ext>
          </a:extLst>
        </xdr:cNvPr>
        <xdr:cNvSpPr/>
      </xdr:nvSpPr>
      <xdr:spPr bwMode="auto">
        <a:xfrm>
          <a:off x="15406461" y="247650"/>
          <a:ext cx="765313" cy="190500"/>
        </a:xfrm>
        <a:prstGeom prst="rect">
          <a:avLst/>
        </a:prstGeom>
        <a:noFill/>
        <a:ln w="9525">
          <a:miter lim="800000"/>
          <a:headEnd/>
          <a:tailEnd/>
        </a:ln>
      </xdr:spPr>
    </xdr:sp>
    <xdr:clientData/>
  </xdr:oneCellAnchor>
  <xdr:oneCellAnchor>
    <xdr:from>
      <xdr:col>11</xdr:col>
      <xdr:colOff>228600</xdr:colOff>
      <xdr:row>1</xdr:row>
      <xdr:rowOff>0</xdr:rowOff>
    </xdr:from>
    <xdr:ext cx="765313" cy="190500"/>
    <xdr:pic>
      <xdr:nvPicPr>
        <xdr:cNvPr id="99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0500"/>
        </a:xfrm>
        <a:prstGeom prst="rect">
          <a:avLst/>
        </a:prstGeom>
        <a:noFill/>
        <a:ln w="9525">
          <a:miter lim="800000"/>
          <a:headEnd/>
          <a:tailEnd/>
        </a:ln>
      </xdr:spPr>
    </xdr:pic>
    <xdr:clientData/>
  </xdr:oneCellAnchor>
  <xdr:oneCellAnchor>
    <xdr:from>
      <xdr:col>11</xdr:col>
      <xdr:colOff>228600</xdr:colOff>
      <xdr:row>1</xdr:row>
      <xdr:rowOff>0</xdr:rowOff>
    </xdr:from>
    <xdr:ext cx="765313" cy="190500"/>
    <xdr:pic>
      <xdr:nvPicPr>
        <xdr:cNvPr id="99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0500"/>
        </a:xfrm>
        <a:prstGeom prst="rect">
          <a:avLst/>
        </a:prstGeom>
        <a:noFill/>
        <a:ln w="9525">
          <a:miter lim="800000"/>
          <a:headEnd/>
          <a:tailEnd/>
        </a:ln>
      </xdr:spPr>
    </xdr:pic>
    <xdr:clientData/>
  </xdr:oneCellAnchor>
  <xdr:oneCellAnchor>
    <xdr:from>
      <xdr:col>11</xdr:col>
      <xdr:colOff>342900</xdr:colOff>
      <xdr:row>1</xdr:row>
      <xdr:rowOff>0</xdr:rowOff>
    </xdr:from>
    <xdr:ext cx="765313" cy="190500"/>
    <xdr:pic>
      <xdr:nvPicPr>
        <xdr:cNvPr id="99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0500"/>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999" name="Control 1" hidden="1">
          <a:extLst>
            <a:ext uri="{63B3BB69-23CF-44E3-9099-C40C66FF867C}">
              <a14:compatExt xmlns:a14="http://schemas.microsoft.com/office/drawing/2010/main" spid="_x0000_s1025"/>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000" name="Control 2" hidden="1">
          <a:extLst>
            <a:ext uri="{63B3BB69-23CF-44E3-9099-C40C66FF867C}">
              <a14:compatExt xmlns:a14="http://schemas.microsoft.com/office/drawing/2010/main" spid="_x0000_s1026"/>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001" name="Control 3" hidden="1">
          <a:extLst>
            <a:ext uri="{63B3BB69-23CF-44E3-9099-C40C66FF867C}">
              <a14:compatExt xmlns:a14="http://schemas.microsoft.com/office/drawing/2010/main" spid="_x0000_s1027"/>
            </a:ext>
          </a:extLst>
        </xdr:cNvPr>
        <xdr:cNvSpPr/>
      </xdr:nvSpPr>
      <xdr:spPr bwMode="auto">
        <a:xfrm>
          <a:off x="15406461" y="24765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00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00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00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005" name="Control 1" hidden="1">
          <a:extLst>
            <a:ext uri="{63B3BB69-23CF-44E3-9099-C40C66FF867C}">
              <a14:compatExt xmlns:a14="http://schemas.microsoft.com/office/drawing/2010/main" spid="_x0000_s1025"/>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006" name="Control 2" hidden="1">
          <a:extLst>
            <a:ext uri="{63B3BB69-23CF-44E3-9099-C40C66FF867C}">
              <a14:compatExt xmlns:a14="http://schemas.microsoft.com/office/drawing/2010/main" spid="_x0000_s1026"/>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007" name="Control 3" hidden="1">
          <a:extLst>
            <a:ext uri="{63B3BB69-23CF-44E3-9099-C40C66FF867C}">
              <a14:compatExt xmlns:a14="http://schemas.microsoft.com/office/drawing/2010/main" spid="_x0000_s1027"/>
            </a:ext>
          </a:extLst>
        </xdr:cNvPr>
        <xdr:cNvSpPr/>
      </xdr:nvSpPr>
      <xdr:spPr bwMode="auto">
        <a:xfrm>
          <a:off x="15406461" y="24765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00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00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01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01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01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01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01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01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01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1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1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1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2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2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2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2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2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2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2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2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2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02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03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03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03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03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03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3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3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3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3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3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4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4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4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4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4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4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4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04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04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04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05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05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05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5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5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5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5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5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5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5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6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6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6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6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6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06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06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06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06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06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07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7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7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7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7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7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7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7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7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7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8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8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8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08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08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08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08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08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08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8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9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9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9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9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9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9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9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9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9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9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0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10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10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10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10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10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10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0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0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0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1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1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1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1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1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1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1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1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1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11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12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12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12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12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12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2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2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2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2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2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3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3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3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3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3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3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3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13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13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13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14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14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14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4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4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4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4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4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4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4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5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5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5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5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5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15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15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15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15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15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16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6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6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6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6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6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6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6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6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6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7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7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7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17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17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17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17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17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17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7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8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8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8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8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8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8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8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8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8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8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9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19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19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19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19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19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19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9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9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9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0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0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0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20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20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20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0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0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0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20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21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21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21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21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21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21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21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21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1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1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2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22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22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22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2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2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2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22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22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22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23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23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23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23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23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23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3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3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3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23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24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24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4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4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4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24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24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24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24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24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25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25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25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25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5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5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5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25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25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25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6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6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6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500"/>
    <xdr:sp macro="" textlink="">
      <xdr:nvSpPr>
        <xdr:cNvPr id="1263" name="Control 1" hidden="1">
          <a:extLst>
            <a:ext uri="{63B3BB69-23CF-44E3-9099-C40C66FF867C}">
              <a14:compatExt xmlns:a14="http://schemas.microsoft.com/office/drawing/2010/main" spid="_x0000_s1025"/>
            </a:ext>
          </a:extLst>
        </xdr:cNvPr>
        <xdr:cNvSpPr/>
      </xdr:nvSpPr>
      <xdr:spPr bwMode="auto">
        <a:xfrm>
          <a:off x="15292161" y="247650"/>
          <a:ext cx="765313" cy="190500"/>
        </a:xfrm>
        <a:prstGeom prst="rect">
          <a:avLst/>
        </a:prstGeom>
        <a:noFill/>
        <a:ln w="9525">
          <a:miter lim="800000"/>
          <a:headEnd/>
          <a:tailEnd/>
        </a:ln>
      </xdr:spPr>
    </xdr:sp>
    <xdr:clientData/>
  </xdr:oneCellAnchor>
  <xdr:oneCellAnchor>
    <xdr:from>
      <xdr:col>11</xdr:col>
      <xdr:colOff>233136</xdr:colOff>
      <xdr:row>1</xdr:row>
      <xdr:rowOff>0</xdr:rowOff>
    </xdr:from>
    <xdr:ext cx="765313" cy="190500"/>
    <xdr:sp macro="" textlink="">
      <xdr:nvSpPr>
        <xdr:cNvPr id="1264" name="Control 2" hidden="1">
          <a:extLst>
            <a:ext uri="{63B3BB69-23CF-44E3-9099-C40C66FF867C}">
              <a14:compatExt xmlns:a14="http://schemas.microsoft.com/office/drawing/2010/main" spid="_x0000_s1026"/>
            </a:ext>
          </a:extLst>
        </xdr:cNvPr>
        <xdr:cNvSpPr/>
      </xdr:nvSpPr>
      <xdr:spPr bwMode="auto">
        <a:xfrm>
          <a:off x="15292161" y="247650"/>
          <a:ext cx="765313" cy="190500"/>
        </a:xfrm>
        <a:prstGeom prst="rect">
          <a:avLst/>
        </a:prstGeom>
        <a:noFill/>
        <a:ln w="9525">
          <a:miter lim="800000"/>
          <a:headEnd/>
          <a:tailEnd/>
        </a:ln>
      </xdr:spPr>
    </xdr:sp>
    <xdr:clientData/>
  </xdr:oneCellAnchor>
  <xdr:oneCellAnchor>
    <xdr:from>
      <xdr:col>11</xdr:col>
      <xdr:colOff>347436</xdr:colOff>
      <xdr:row>1</xdr:row>
      <xdr:rowOff>0</xdr:rowOff>
    </xdr:from>
    <xdr:ext cx="765313" cy="190500"/>
    <xdr:sp macro="" textlink="">
      <xdr:nvSpPr>
        <xdr:cNvPr id="1265" name="Control 3" hidden="1">
          <a:extLst>
            <a:ext uri="{63B3BB69-23CF-44E3-9099-C40C66FF867C}">
              <a14:compatExt xmlns:a14="http://schemas.microsoft.com/office/drawing/2010/main" spid="_x0000_s1027"/>
            </a:ext>
          </a:extLst>
        </xdr:cNvPr>
        <xdr:cNvSpPr/>
      </xdr:nvSpPr>
      <xdr:spPr bwMode="auto">
        <a:xfrm>
          <a:off x="15406461" y="247650"/>
          <a:ext cx="765313" cy="190500"/>
        </a:xfrm>
        <a:prstGeom prst="rect">
          <a:avLst/>
        </a:prstGeom>
        <a:noFill/>
        <a:ln w="9525">
          <a:miter lim="800000"/>
          <a:headEnd/>
          <a:tailEnd/>
        </a:ln>
      </xdr:spPr>
    </xdr:sp>
    <xdr:clientData/>
  </xdr:oneCellAnchor>
  <xdr:oneCellAnchor>
    <xdr:from>
      <xdr:col>11</xdr:col>
      <xdr:colOff>228600</xdr:colOff>
      <xdr:row>1</xdr:row>
      <xdr:rowOff>0</xdr:rowOff>
    </xdr:from>
    <xdr:ext cx="765313" cy="190500"/>
    <xdr:pic>
      <xdr:nvPicPr>
        <xdr:cNvPr id="126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0500"/>
        </a:xfrm>
        <a:prstGeom prst="rect">
          <a:avLst/>
        </a:prstGeom>
        <a:noFill/>
        <a:ln w="9525">
          <a:miter lim="800000"/>
          <a:headEnd/>
          <a:tailEnd/>
        </a:ln>
      </xdr:spPr>
    </xdr:pic>
    <xdr:clientData/>
  </xdr:oneCellAnchor>
  <xdr:oneCellAnchor>
    <xdr:from>
      <xdr:col>11</xdr:col>
      <xdr:colOff>228600</xdr:colOff>
      <xdr:row>1</xdr:row>
      <xdr:rowOff>0</xdr:rowOff>
    </xdr:from>
    <xdr:ext cx="765313" cy="190500"/>
    <xdr:pic>
      <xdr:nvPicPr>
        <xdr:cNvPr id="126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0500"/>
        </a:xfrm>
        <a:prstGeom prst="rect">
          <a:avLst/>
        </a:prstGeom>
        <a:noFill/>
        <a:ln w="9525">
          <a:miter lim="800000"/>
          <a:headEnd/>
          <a:tailEnd/>
        </a:ln>
      </xdr:spPr>
    </xdr:pic>
    <xdr:clientData/>
  </xdr:oneCellAnchor>
  <xdr:oneCellAnchor>
    <xdr:from>
      <xdr:col>11</xdr:col>
      <xdr:colOff>342900</xdr:colOff>
      <xdr:row>1</xdr:row>
      <xdr:rowOff>0</xdr:rowOff>
    </xdr:from>
    <xdr:ext cx="765313" cy="190500"/>
    <xdr:pic>
      <xdr:nvPicPr>
        <xdr:cNvPr id="126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0500"/>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269" name="Control 1" hidden="1">
          <a:extLst>
            <a:ext uri="{63B3BB69-23CF-44E3-9099-C40C66FF867C}">
              <a14:compatExt xmlns:a14="http://schemas.microsoft.com/office/drawing/2010/main" spid="_x0000_s1025"/>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270" name="Control 2" hidden="1">
          <a:extLst>
            <a:ext uri="{63B3BB69-23CF-44E3-9099-C40C66FF867C}">
              <a14:compatExt xmlns:a14="http://schemas.microsoft.com/office/drawing/2010/main" spid="_x0000_s1026"/>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271" name="Control 3" hidden="1">
          <a:extLst>
            <a:ext uri="{63B3BB69-23CF-44E3-9099-C40C66FF867C}">
              <a14:compatExt xmlns:a14="http://schemas.microsoft.com/office/drawing/2010/main" spid="_x0000_s1027"/>
            </a:ext>
          </a:extLst>
        </xdr:cNvPr>
        <xdr:cNvSpPr/>
      </xdr:nvSpPr>
      <xdr:spPr bwMode="auto">
        <a:xfrm>
          <a:off x="15406461" y="24765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27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27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27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275" name="Control 1" hidden="1">
          <a:extLst>
            <a:ext uri="{63B3BB69-23CF-44E3-9099-C40C66FF867C}">
              <a14:compatExt xmlns:a14="http://schemas.microsoft.com/office/drawing/2010/main" spid="_x0000_s1025"/>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276" name="Control 2" hidden="1">
          <a:extLst>
            <a:ext uri="{63B3BB69-23CF-44E3-9099-C40C66FF867C}">
              <a14:compatExt xmlns:a14="http://schemas.microsoft.com/office/drawing/2010/main" spid="_x0000_s1026"/>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277" name="Control 3" hidden="1">
          <a:extLst>
            <a:ext uri="{63B3BB69-23CF-44E3-9099-C40C66FF867C}">
              <a14:compatExt xmlns:a14="http://schemas.microsoft.com/office/drawing/2010/main" spid="_x0000_s1027"/>
            </a:ext>
          </a:extLst>
        </xdr:cNvPr>
        <xdr:cNvSpPr/>
      </xdr:nvSpPr>
      <xdr:spPr bwMode="auto">
        <a:xfrm>
          <a:off x="15406461" y="24765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27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27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28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3262"/>
        </a:xfrm>
        <a:prstGeom prst="rect">
          <a:avLst/>
        </a:prstGeom>
        <a:noFill/>
        <a:ln w="9525">
          <a:miter lim="800000"/>
          <a:headEnd/>
          <a:tailEnd/>
        </a:ln>
      </xdr:spPr>
    </xdr:pic>
    <xdr:clientData/>
  </xdr:oneCellAnchor>
  <xdr:oneCellAnchor>
    <xdr:from>
      <xdr:col>11</xdr:col>
      <xdr:colOff>233136</xdr:colOff>
      <xdr:row>2</xdr:row>
      <xdr:rowOff>0</xdr:rowOff>
    </xdr:from>
    <xdr:ext cx="765313" cy="190500"/>
    <xdr:sp macro="" textlink="">
      <xdr:nvSpPr>
        <xdr:cNvPr id="1281" name="Control 1" hidden="1">
          <a:extLst>
            <a:ext uri="{63B3BB69-23CF-44E3-9099-C40C66FF867C}">
              <a14:compatExt xmlns:a14="http://schemas.microsoft.com/office/drawing/2010/main" spid="_x0000_s1025"/>
            </a:ext>
          </a:extLst>
        </xdr:cNvPr>
        <xdr:cNvSpPr/>
      </xdr:nvSpPr>
      <xdr:spPr bwMode="auto">
        <a:xfrm>
          <a:off x="15292161" y="495300"/>
          <a:ext cx="765313" cy="190500"/>
        </a:xfrm>
        <a:prstGeom prst="rect">
          <a:avLst/>
        </a:prstGeom>
        <a:noFill/>
        <a:ln w="9525">
          <a:miter lim="800000"/>
          <a:headEnd/>
          <a:tailEnd/>
        </a:ln>
      </xdr:spPr>
    </xdr:sp>
    <xdr:clientData/>
  </xdr:oneCellAnchor>
  <xdr:oneCellAnchor>
    <xdr:from>
      <xdr:col>11</xdr:col>
      <xdr:colOff>233136</xdr:colOff>
      <xdr:row>2</xdr:row>
      <xdr:rowOff>0</xdr:rowOff>
    </xdr:from>
    <xdr:ext cx="765313" cy="190500"/>
    <xdr:sp macro="" textlink="">
      <xdr:nvSpPr>
        <xdr:cNvPr id="1282" name="Control 2" hidden="1">
          <a:extLst>
            <a:ext uri="{63B3BB69-23CF-44E3-9099-C40C66FF867C}">
              <a14:compatExt xmlns:a14="http://schemas.microsoft.com/office/drawing/2010/main" spid="_x0000_s1026"/>
            </a:ext>
          </a:extLst>
        </xdr:cNvPr>
        <xdr:cNvSpPr/>
      </xdr:nvSpPr>
      <xdr:spPr bwMode="auto">
        <a:xfrm>
          <a:off x="15292161" y="495300"/>
          <a:ext cx="765313" cy="190500"/>
        </a:xfrm>
        <a:prstGeom prst="rect">
          <a:avLst/>
        </a:prstGeom>
        <a:noFill/>
        <a:ln w="9525">
          <a:miter lim="800000"/>
          <a:headEnd/>
          <a:tailEnd/>
        </a:ln>
      </xdr:spPr>
    </xdr:sp>
    <xdr:clientData/>
  </xdr:oneCellAnchor>
  <xdr:oneCellAnchor>
    <xdr:from>
      <xdr:col>11</xdr:col>
      <xdr:colOff>347436</xdr:colOff>
      <xdr:row>2</xdr:row>
      <xdr:rowOff>0</xdr:rowOff>
    </xdr:from>
    <xdr:ext cx="765313" cy="190500"/>
    <xdr:sp macro="" textlink="">
      <xdr:nvSpPr>
        <xdr:cNvPr id="1283" name="Control 3" hidden="1">
          <a:extLst>
            <a:ext uri="{63B3BB69-23CF-44E3-9099-C40C66FF867C}">
              <a14:compatExt xmlns:a14="http://schemas.microsoft.com/office/drawing/2010/main" spid="_x0000_s1027"/>
            </a:ext>
          </a:extLst>
        </xdr:cNvPr>
        <xdr:cNvSpPr/>
      </xdr:nvSpPr>
      <xdr:spPr bwMode="auto">
        <a:xfrm>
          <a:off x="15406461" y="495300"/>
          <a:ext cx="765313" cy="190500"/>
        </a:xfrm>
        <a:prstGeom prst="rect">
          <a:avLst/>
        </a:prstGeom>
        <a:noFill/>
        <a:ln w="9525">
          <a:miter lim="800000"/>
          <a:headEnd/>
          <a:tailEnd/>
        </a:ln>
      </xdr:spPr>
    </xdr:sp>
    <xdr:clientData/>
  </xdr:oneCellAnchor>
  <xdr:oneCellAnchor>
    <xdr:from>
      <xdr:col>11</xdr:col>
      <xdr:colOff>228600</xdr:colOff>
      <xdr:row>2</xdr:row>
      <xdr:rowOff>0</xdr:rowOff>
    </xdr:from>
    <xdr:ext cx="765313" cy="190500"/>
    <xdr:pic>
      <xdr:nvPicPr>
        <xdr:cNvPr id="128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495300"/>
          <a:ext cx="765313" cy="190500"/>
        </a:xfrm>
        <a:prstGeom prst="rect">
          <a:avLst/>
        </a:prstGeom>
        <a:noFill/>
        <a:ln w="9525">
          <a:miter lim="800000"/>
          <a:headEnd/>
          <a:tailEnd/>
        </a:ln>
      </xdr:spPr>
    </xdr:pic>
    <xdr:clientData/>
  </xdr:oneCellAnchor>
  <xdr:oneCellAnchor>
    <xdr:from>
      <xdr:col>11</xdr:col>
      <xdr:colOff>228600</xdr:colOff>
      <xdr:row>2</xdr:row>
      <xdr:rowOff>0</xdr:rowOff>
    </xdr:from>
    <xdr:ext cx="765313" cy="190500"/>
    <xdr:pic>
      <xdr:nvPicPr>
        <xdr:cNvPr id="128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495300"/>
          <a:ext cx="765313" cy="190500"/>
        </a:xfrm>
        <a:prstGeom prst="rect">
          <a:avLst/>
        </a:prstGeom>
        <a:noFill/>
        <a:ln w="9525">
          <a:miter lim="800000"/>
          <a:headEnd/>
          <a:tailEnd/>
        </a:ln>
      </xdr:spPr>
    </xdr:pic>
    <xdr:clientData/>
  </xdr:oneCellAnchor>
  <xdr:oneCellAnchor>
    <xdr:from>
      <xdr:col>11</xdr:col>
      <xdr:colOff>342900</xdr:colOff>
      <xdr:row>2</xdr:row>
      <xdr:rowOff>0</xdr:rowOff>
    </xdr:from>
    <xdr:ext cx="765313" cy="190500"/>
    <xdr:pic>
      <xdr:nvPicPr>
        <xdr:cNvPr id="128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495300"/>
          <a:ext cx="765313" cy="190500"/>
        </a:xfrm>
        <a:prstGeom prst="rect">
          <a:avLst/>
        </a:prstGeom>
        <a:noFill/>
        <a:ln w="9525">
          <a:miter lim="800000"/>
          <a:headEnd/>
          <a:tailEnd/>
        </a:ln>
      </xdr:spPr>
    </xdr:pic>
    <xdr:clientData/>
  </xdr:oneCellAnchor>
  <xdr:oneCellAnchor>
    <xdr:from>
      <xdr:col>11</xdr:col>
      <xdr:colOff>233136</xdr:colOff>
      <xdr:row>2</xdr:row>
      <xdr:rowOff>0</xdr:rowOff>
    </xdr:from>
    <xdr:ext cx="765313" cy="190994"/>
    <xdr:sp macro="" textlink="">
      <xdr:nvSpPr>
        <xdr:cNvPr id="1287" name="Control 1" hidden="1">
          <a:extLst>
            <a:ext uri="{63B3BB69-23CF-44E3-9099-C40C66FF867C}">
              <a14:compatExt xmlns:a14="http://schemas.microsoft.com/office/drawing/2010/main" spid="_x0000_s1025"/>
            </a:ext>
          </a:extLst>
        </xdr:cNvPr>
        <xdr:cNvSpPr/>
      </xdr:nvSpPr>
      <xdr:spPr bwMode="auto">
        <a:xfrm>
          <a:off x="15292161" y="495300"/>
          <a:ext cx="765313" cy="190994"/>
        </a:xfrm>
        <a:prstGeom prst="rect">
          <a:avLst/>
        </a:prstGeom>
        <a:noFill/>
        <a:ln w="9525">
          <a:miter lim="800000"/>
          <a:headEnd/>
          <a:tailEnd/>
        </a:ln>
      </xdr:spPr>
    </xdr:sp>
    <xdr:clientData/>
  </xdr:oneCellAnchor>
  <xdr:oneCellAnchor>
    <xdr:from>
      <xdr:col>11</xdr:col>
      <xdr:colOff>233136</xdr:colOff>
      <xdr:row>2</xdr:row>
      <xdr:rowOff>0</xdr:rowOff>
    </xdr:from>
    <xdr:ext cx="765313" cy="190994"/>
    <xdr:sp macro="" textlink="">
      <xdr:nvSpPr>
        <xdr:cNvPr id="1288" name="Control 2" hidden="1">
          <a:extLst>
            <a:ext uri="{63B3BB69-23CF-44E3-9099-C40C66FF867C}">
              <a14:compatExt xmlns:a14="http://schemas.microsoft.com/office/drawing/2010/main" spid="_x0000_s1026"/>
            </a:ext>
          </a:extLst>
        </xdr:cNvPr>
        <xdr:cNvSpPr/>
      </xdr:nvSpPr>
      <xdr:spPr bwMode="auto">
        <a:xfrm>
          <a:off x="15292161" y="495300"/>
          <a:ext cx="765313" cy="190994"/>
        </a:xfrm>
        <a:prstGeom prst="rect">
          <a:avLst/>
        </a:prstGeom>
        <a:noFill/>
        <a:ln w="9525">
          <a:miter lim="800000"/>
          <a:headEnd/>
          <a:tailEnd/>
        </a:ln>
      </xdr:spPr>
    </xdr:sp>
    <xdr:clientData/>
  </xdr:oneCellAnchor>
  <xdr:oneCellAnchor>
    <xdr:from>
      <xdr:col>11</xdr:col>
      <xdr:colOff>347436</xdr:colOff>
      <xdr:row>2</xdr:row>
      <xdr:rowOff>0</xdr:rowOff>
    </xdr:from>
    <xdr:ext cx="765313" cy="190994"/>
    <xdr:sp macro="" textlink="">
      <xdr:nvSpPr>
        <xdr:cNvPr id="1289" name="Control 3" hidden="1">
          <a:extLst>
            <a:ext uri="{63B3BB69-23CF-44E3-9099-C40C66FF867C}">
              <a14:compatExt xmlns:a14="http://schemas.microsoft.com/office/drawing/2010/main" spid="_x0000_s1027"/>
            </a:ext>
          </a:extLst>
        </xdr:cNvPr>
        <xdr:cNvSpPr/>
      </xdr:nvSpPr>
      <xdr:spPr bwMode="auto">
        <a:xfrm>
          <a:off x="15406461" y="495300"/>
          <a:ext cx="765313" cy="190994"/>
        </a:xfrm>
        <a:prstGeom prst="rect">
          <a:avLst/>
        </a:prstGeom>
        <a:noFill/>
        <a:ln w="9525">
          <a:miter lim="800000"/>
          <a:headEnd/>
          <a:tailEnd/>
        </a:ln>
      </xdr:spPr>
    </xdr:sp>
    <xdr:clientData/>
  </xdr:oneCellAnchor>
  <xdr:oneCellAnchor>
    <xdr:from>
      <xdr:col>11</xdr:col>
      <xdr:colOff>228600</xdr:colOff>
      <xdr:row>2</xdr:row>
      <xdr:rowOff>0</xdr:rowOff>
    </xdr:from>
    <xdr:ext cx="765313" cy="193262"/>
    <xdr:pic>
      <xdr:nvPicPr>
        <xdr:cNvPr id="129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495300"/>
          <a:ext cx="765313" cy="193262"/>
        </a:xfrm>
        <a:prstGeom prst="rect">
          <a:avLst/>
        </a:prstGeom>
        <a:noFill/>
        <a:ln w="9525">
          <a:miter lim="800000"/>
          <a:headEnd/>
          <a:tailEnd/>
        </a:ln>
      </xdr:spPr>
    </xdr:pic>
    <xdr:clientData/>
  </xdr:oneCellAnchor>
  <xdr:oneCellAnchor>
    <xdr:from>
      <xdr:col>11</xdr:col>
      <xdr:colOff>228600</xdr:colOff>
      <xdr:row>2</xdr:row>
      <xdr:rowOff>0</xdr:rowOff>
    </xdr:from>
    <xdr:ext cx="765313" cy="193262"/>
    <xdr:pic>
      <xdr:nvPicPr>
        <xdr:cNvPr id="129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495300"/>
          <a:ext cx="765313" cy="193262"/>
        </a:xfrm>
        <a:prstGeom prst="rect">
          <a:avLst/>
        </a:prstGeom>
        <a:noFill/>
        <a:ln w="9525">
          <a:miter lim="800000"/>
          <a:headEnd/>
          <a:tailEnd/>
        </a:ln>
      </xdr:spPr>
    </xdr:pic>
    <xdr:clientData/>
  </xdr:oneCellAnchor>
  <xdr:oneCellAnchor>
    <xdr:from>
      <xdr:col>11</xdr:col>
      <xdr:colOff>342900</xdr:colOff>
      <xdr:row>2</xdr:row>
      <xdr:rowOff>0</xdr:rowOff>
    </xdr:from>
    <xdr:ext cx="765313" cy="193262"/>
    <xdr:pic>
      <xdr:nvPicPr>
        <xdr:cNvPr id="129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495300"/>
          <a:ext cx="765313" cy="193262"/>
        </a:xfrm>
        <a:prstGeom prst="rect">
          <a:avLst/>
        </a:prstGeom>
        <a:noFill/>
        <a:ln w="9525">
          <a:miter lim="800000"/>
          <a:headEnd/>
          <a:tailEnd/>
        </a:ln>
      </xdr:spPr>
    </xdr:pic>
    <xdr:clientData/>
  </xdr:oneCellAnchor>
  <xdr:oneCellAnchor>
    <xdr:from>
      <xdr:col>11</xdr:col>
      <xdr:colOff>233136</xdr:colOff>
      <xdr:row>2</xdr:row>
      <xdr:rowOff>0</xdr:rowOff>
    </xdr:from>
    <xdr:ext cx="765313" cy="190994"/>
    <xdr:sp macro="" textlink="">
      <xdr:nvSpPr>
        <xdr:cNvPr id="1293" name="Control 1" hidden="1">
          <a:extLst>
            <a:ext uri="{63B3BB69-23CF-44E3-9099-C40C66FF867C}">
              <a14:compatExt xmlns:a14="http://schemas.microsoft.com/office/drawing/2010/main" spid="_x0000_s1025"/>
            </a:ext>
          </a:extLst>
        </xdr:cNvPr>
        <xdr:cNvSpPr/>
      </xdr:nvSpPr>
      <xdr:spPr bwMode="auto">
        <a:xfrm>
          <a:off x="15292161" y="495300"/>
          <a:ext cx="765313" cy="190994"/>
        </a:xfrm>
        <a:prstGeom prst="rect">
          <a:avLst/>
        </a:prstGeom>
        <a:noFill/>
        <a:ln w="9525">
          <a:miter lim="800000"/>
          <a:headEnd/>
          <a:tailEnd/>
        </a:ln>
      </xdr:spPr>
    </xdr:sp>
    <xdr:clientData/>
  </xdr:oneCellAnchor>
  <xdr:oneCellAnchor>
    <xdr:from>
      <xdr:col>11</xdr:col>
      <xdr:colOff>233136</xdr:colOff>
      <xdr:row>2</xdr:row>
      <xdr:rowOff>0</xdr:rowOff>
    </xdr:from>
    <xdr:ext cx="765313" cy="190994"/>
    <xdr:sp macro="" textlink="">
      <xdr:nvSpPr>
        <xdr:cNvPr id="1294" name="Control 2" hidden="1">
          <a:extLst>
            <a:ext uri="{63B3BB69-23CF-44E3-9099-C40C66FF867C}">
              <a14:compatExt xmlns:a14="http://schemas.microsoft.com/office/drawing/2010/main" spid="_x0000_s1026"/>
            </a:ext>
          </a:extLst>
        </xdr:cNvPr>
        <xdr:cNvSpPr/>
      </xdr:nvSpPr>
      <xdr:spPr bwMode="auto">
        <a:xfrm>
          <a:off x="15292161" y="495300"/>
          <a:ext cx="765313" cy="190994"/>
        </a:xfrm>
        <a:prstGeom prst="rect">
          <a:avLst/>
        </a:prstGeom>
        <a:noFill/>
        <a:ln w="9525">
          <a:miter lim="800000"/>
          <a:headEnd/>
          <a:tailEnd/>
        </a:ln>
      </xdr:spPr>
    </xdr:sp>
    <xdr:clientData/>
  </xdr:oneCellAnchor>
  <xdr:oneCellAnchor>
    <xdr:from>
      <xdr:col>11</xdr:col>
      <xdr:colOff>347436</xdr:colOff>
      <xdr:row>2</xdr:row>
      <xdr:rowOff>0</xdr:rowOff>
    </xdr:from>
    <xdr:ext cx="765313" cy="190994"/>
    <xdr:sp macro="" textlink="">
      <xdr:nvSpPr>
        <xdr:cNvPr id="1295" name="Control 3" hidden="1">
          <a:extLst>
            <a:ext uri="{63B3BB69-23CF-44E3-9099-C40C66FF867C}">
              <a14:compatExt xmlns:a14="http://schemas.microsoft.com/office/drawing/2010/main" spid="_x0000_s1027"/>
            </a:ext>
          </a:extLst>
        </xdr:cNvPr>
        <xdr:cNvSpPr/>
      </xdr:nvSpPr>
      <xdr:spPr bwMode="auto">
        <a:xfrm>
          <a:off x="15406461" y="495300"/>
          <a:ext cx="765313" cy="190994"/>
        </a:xfrm>
        <a:prstGeom prst="rect">
          <a:avLst/>
        </a:prstGeom>
        <a:noFill/>
        <a:ln w="9525">
          <a:miter lim="800000"/>
          <a:headEnd/>
          <a:tailEnd/>
        </a:ln>
      </xdr:spPr>
    </xdr:sp>
    <xdr:clientData/>
  </xdr:oneCellAnchor>
  <xdr:oneCellAnchor>
    <xdr:from>
      <xdr:col>11</xdr:col>
      <xdr:colOff>228600</xdr:colOff>
      <xdr:row>2</xdr:row>
      <xdr:rowOff>0</xdr:rowOff>
    </xdr:from>
    <xdr:ext cx="765313" cy="193262"/>
    <xdr:pic>
      <xdr:nvPicPr>
        <xdr:cNvPr id="129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495300"/>
          <a:ext cx="765313" cy="193262"/>
        </a:xfrm>
        <a:prstGeom prst="rect">
          <a:avLst/>
        </a:prstGeom>
        <a:noFill/>
        <a:ln w="9525">
          <a:miter lim="800000"/>
          <a:headEnd/>
          <a:tailEnd/>
        </a:ln>
      </xdr:spPr>
    </xdr:pic>
    <xdr:clientData/>
  </xdr:oneCellAnchor>
  <xdr:oneCellAnchor>
    <xdr:from>
      <xdr:col>11</xdr:col>
      <xdr:colOff>228600</xdr:colOff>
      <xdr:row>2</xdr:row>
      <xdr:rowOff>0</xdr:rowOff>
    </xdr:from>
    <xdr:ext cx="765313" cy="193262"/>
    <xdr:pic>
      <xdr:nvPicPr>
        <xdr:cNvPr id="129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495300"/>
          <a:ext cx="765313" cy="193262"/>
        </a:xfrm>
        <a:prstGeom prst="rect">
          <a:avLst/>
        </a:prstGeom>
        <a:noFill/>
        <a:ln w="9525">
          <a:miter lim="800000"/>
          <a:headEnd/>
          <a:tailEnd/>
        </a:ln>
      </xdr:spPr>
    </xdr:pic>
    <xdr:clientData/>
  </xdr:oneCellAnchor>
  <xdr:oneCellAnchor>
    <xdr:from>
      <xdr:col>11</xdr:col>
      <xdr:colOff>342900</xdr:colOff>
      <xdr:row>2</xdr:row>
      <xdr:rowOff>0</xdr:rowOff>
    </xdr:from>
    <xdr:ext cx="765313" cy="193262"/>
    <xdr:pic>
      <xdr:nvPicPr>
        <xdr:cNvPr id="129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49530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29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30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30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30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30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30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0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0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0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0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0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1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1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1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1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1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1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1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31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31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31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32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32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32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2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2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2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2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2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2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2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3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3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3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3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3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33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33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33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33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33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34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4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4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4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4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4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4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4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4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4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5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5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5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35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35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35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35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35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35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5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6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6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6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6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6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6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6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6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6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6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7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37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37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37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37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37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37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7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7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7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8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8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8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8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8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8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8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8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8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500"/>
    <xdr:sp macro="" textlink="">
      <xdr:nvSpPr>
        <xdr:cNvPr id="1389" name="Control 1" hidden="1">
          <a:extLst>
            <a:ext uri="{63B3BB69-23CF-44E3-9099-C40C66FF867C}">
              <a14:compatExt xmlns:a14="http://schemas.microsoft.com/office/drawing/2010/main" spid="_x0000_s1025"/>
            </a:ext>
          </a:extLst>
        </xdr:cNvPr>
        <xdr:cNvSpPr/>
      </xdr:nvSpPr>
      <xdr:spPr bwMode="auto">
        <a:xfrm>
          <a:off x="15292161" y="247650"/>
          <a:ext cx="765313" cy="190500"/>
        </a:xfrm>
        <a:prstGeom prst="rect">
          <a:avLst/>
        </a:prstGeom>
        <a:noFill/>
        <a:ln w="9525">
          <a:miter lim="800000"/>
          <a:headEnd/>
          <a:tailEnd/>
        </a:ln>
      </xdr:spPr>
    </xdr:sp>
    <xdr:clientData/>
  </xdr:oneCellAnchor>
  <xdr:oneCellAnchor>
    <xdr:from>
      <xdr:col>11</xdr:col>
      <xdr:colOff>233136</xdr:colOff>
      <xdr:row>1</xdr:row>
      <xdr:rowOff>0</xdr:rowOff>
    </xdr:from>
    <xdr:ext cx="765313" cy="190500"/>
    <xdr:sp macro="" textlink="">
      <xdr:nvSpPr>
        <xdr:cNvPr id="1390" name="Control 2" hidden="1">
          <a:extLst>
            <a:ext uri="{63B3BB69-23CF-44E3-9099-C40C66FF867C}">
              <a14:compatExt xmlns:a14="http://schemas.microsoft.com/office/drawing/2010/main" spid="_x0000_s1026"/>
            </a:ext>
          </a:extLst>
        </xdr:cNvPr>
        <xdr:cNvSpPr/>
      </xdr:nvSpPr>
      <xdr:spPr bwMode="auto">
        <a:xfrm>
          <a:off x="15292161" y="247650"/>
          <a:ext cx="765313" cy="190500"/>
        </a:xfrm>
        <a:prstGeom prst="rect">
          <a:avLst/>
        </a:prstGeom>
        <a:noFill/>
        <a:ln w="9525">
          <a:miter lim="800000"/>
          <a:headEnd/>
          <a:tailEnd/>
        </a:ln>
      </xdr:spPr>
    </xdr:sp>
    <xdr:clientData/>
  </xdr:oneCellAnchor>
  <xdr:oneCellAnchor>
    <xdr:from>
      <xdr:col>11</xdr:col>
      <xdr:colOff>347436</xdr:colOff>
      <xdr:row>1</xdr:row>
      <xdr:rowOff>0</xdr:rowOff>
    </xdr:from>
    <xdr:ext cx="765313" cy="190500"/>
    <xdr:sp macro="" textlink="">
      <xdr:nvSpPr>
        <xdr:cNvPr id="1391" name="Control 3" hidden="1">
          <a:extLst>
            <a:ext uri="{63B3BB69-23CF-44E3-9099-C40C66FF867C}">
              <a14:compatExt xmlns:a14="http://schemas.microsoft.com/office/drawing/2010/main" spid="_x0000_s1027"/>
            </a:ext>
          </a:extLst>
        </xdr:cNvPr>
        <xdr:cNvSpPr/>
      </xdr:nvSpPr>
      <xdr:spPr bwMode="auto">
        <a:xfrm>
          <a:off x="15406461" y="247650"/>
          <a:ext cx="765313" cy="190500"/>
        </a:xfrm>
        <a:prstGeom prst="rect">
          <a:avLst/>
        </a:prstGeom>
        <a:noFill/>
        <a:ln w="9525">
          <a:miter lim="800000"/>
          <a:headEnd/>
          <a:tailEnd/>
        </a:ln>
      </xdr:spPr>
    </xdr:sp>
    <xdr:clientData/>
  </xdr:oneCellAnchor>
  <xdr:oneCellAnchor>
    <xdr:from>
      <xdr:col>11</xdr:col>
      <xdr:colOff>228600</xdr:colOff>
      <xdr:row>1</xdr:row>
      <xdr:rowOff>0</xdr:rowOff>
    </xdr:from>
    <xdr:ext cx="765313" cy="190500"/>
    <xdr:pic>
      <xdr:nvPicPr>
        <xdr:cNvPr id="139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0500"/>
        </a:xfrm>
        <a:prstGeom prst="rect">
          <a:avLst/>
        </a:prstGeom>
        <a:noFill/>
        <a:ln w="9525">
          <a:miter lim="800000"/>
          <a:headEnd/>
          <a:tailEnd/>
        </a:ln>
      </xdr:spPr>
    </xdr:pic>
    <xdr:clientData/>
  </xdr:oneCellAnchor>
  <xdr:oneCellAnchor>
    <xdr:from>
      <xdr:col>11</xdr:col>
      <xdr:colOff>228600</xdr:colOff>
      <xdr:row>1</xdr:row>
      <xdr:rowOff>0</xdr:rowOff>
    </xdr:from>
    <xdr:ext cx="765313" cy="190500"/>
    <xdr:pic>
      <xdr:nvPicPr>
        <xdr:cNvPr id="139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0500"/>
        </a:xfrm>
        <a:prstGeom prst="rect">
          <a:avLst/>
        </a:prstGeom>
        <a:noFill/>
        <a:ln w="9525">
          <a:miter lim="800000"/>
          <a:headEnd/>
          <a:tailEnd/>
        </a:ln>
      </xdr:spPr>
    </xdr:pic>
    <xdr:clientData/>
  </xdr:oneCellAnchor>
  <xdr:oneCellAnchor>
    <xdr:from>
      <xdr:col>11</xdr:col>
      <xdr:colOff>342900</xdr:colOff>
      <xdr:row>1</xdr:row>
      <xdr:rowOff>0</xdr:rowOff>
    </xdr:from>
    <xdr:ext cx="765313" cy="190500"/>
    <xdr:pic>
      <xdr:nvPicPr>
        <xdr:cNvPr id="139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0500"/>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395" name="Control 1" hidden="1">
          <a:extLst>
            <a:ext uri="{63B3BB69-23CF-44E3-9099-C40C66FF867C}">
              <a14:compatExt xmlns:a14="http://schemas.microsoft.com/office/drawing/2010/main" spid="_x0000_s1025"/>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396" name="Control 2" hidden="1">
          <a:extLst>
            <a:ext uri="{63B3BB69-23CF-44E3-9099-C40C66FF867C}">
              <a14:compatExt xmlns:a14="http://schemas.microsoft.com/office/drawing/2010/main" spid="_x0000_s1026"/>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397" name="Control 3" hidden="1">
          <a:extLst>
            <a:ext uri="{63B3BB69-23CF-44E3-9099-C40C66FF867C}">
              <a14:compatExt xmlns:a14="http://schemas.microsoft.com/office/drawing/2010/main" spid="_x0000_s1027"/>
            </a:ext>
          </a:extLst>
        </xdr:cNvPr>
        <xdr:cNvSpPr/>
      </xdr:nvSpPr>
      <xdr:spPr bwMode="auto">
        <a:xfrm>
          <a:off x="15406461" y="24765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39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39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40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401" name="Control 1" hidden="1">
          <a:extLst>
            <a:ext uri="{63B3BB69-23CF-44E3-9099-C40C66FF867C}">
              <a14:compatExt xmlns:a14="http://schemas.microsoft.com/office/drawing/2010/main" spid="_x0000_s1025"/>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402" name="Control 2" hidden="1">
          <a:extLst>
            <a:ext uri="{63B3BB69-23CF-44E3-9099-C40C66FF867C}">
              <a14:compatExt xmlns:a14="http://schemas.microsoft.com/office/drawing/2010/main" spid="_x0000_s1026"/>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403" name="Control 3" hidden="1">
          <a:extLst>
            <a:ext uri="{63B3BB69-23CF-44E3-9099-C40C66FF867C}">
              <a14:compatExt xmlns:a14="http://schemas.microsoft.com/office/drawing/2010/main" spid="_x0000_s1027"/>
            </a:ext>
          </a:extLst>
        </xdr:cNvPr>
        <xdr:cNvSpPr/>
      </xdr:nvSpPr>
      <xdr:spPr bwMode="auto">
        <a:xfrm>
          <a:off x="15406461" y="24765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40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40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40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40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40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40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41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41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41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1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1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1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1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1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1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1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2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2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2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2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2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500"/>
    <xdr:sp macro="" textlink="">
      <xdr:nvSpPr>
        <xdr:cNvPr id="1425" name="Control 1" hidden="1">
          <a:extLst>
            <a:ext uri="{63B3BB69-23CF-44E3-9099-C40C66FF867C}">
              <a14:compatExt xmlns:a14="http://schemas.microsoft.com/office/drawing/2010/main" spid="_x0000_s1025"/>
            </a:ext>
          </a:extLst>
        </xdr:cNvPr>
        <xdr:cNvSpPr/>
      </xdr:nvSpPr>
      <xdr:spPr bwMode="auto">
        <a:xfrm>
          <a:off x="15292161" y="247650"/>
          <a:ext cx="765313" cy="190500"/>
        </a:xfrm>
        <a:prstGeom prst="rect">
          <a:avLst/>
        </a:prstGeom>
        <a:noFill/>
        <a:ln w="9525">
          <a:miter lim="800000"/>
          <a:headEnd/>
          <a:tailEnd/>
        </a:ln>
      </xdr:spPr>
    </xdr:sp>
    <xdr:clientData/>
  </xdr:oneCellAnchor>
  <xdr:oneCellAnchor>
    <xdr:from>
      <xdr:col>11</xdr:col>
      <xdr:colOff>233136</xdr:colOff>
      <xdr:row>1</xdr:row>
      <xdr:rowOff>0</xdr:rowOff>
    </xdr:from>
    <xdr:ext cx="765313" cy="190500"/>
    <xdr:sp macro="" textlink="">
      <xdr:nvSpPr>
        <xdr:cNvPr id="1426" name="Control 2" hidden="1">
          <a:extLst>
            <a:ext uri="{63B3BB69-23CF-44E3-9099-C40C66FF867C}">
              <a14:compatExt xmlns:a14="http://schemas.microsoft.com/office/drawing/2010/main" spid="_x0000_s1026"/>
            </a:ext>
          </a:extLst>
        </xdr:cNvPr>
        <xdr:cNvSpPr/>
      </xdr:nvSpPr>
      <xdr:spPr bwMode="auto">
        <a:xfrm>
          <a:off x="15292161" y="247650"/>
          <a:ext cx="765313" cy="190500"/>
        </a:xfrm>
        <a:prstGeom prst="rect">
          <a:avLst/>
        </a:prstGeom>
        <a:noFill/>
        <a:ln w="9525">
          <a:miter lim="800000"/>
          <a:headEnd/>
          <a:tailEnd/>
        </a:ln>
      </xdr:spPr>
    </xdr:sp>
    <xdr:clientData/>
  </xdr:oneCellAnchor>
  <xdr:oneCellAnchor>
    <xdr:from>
      <xdr:col>11</xdr:col>
      <xdr:colOff>347436</xdr:colOff>
      <xdr:row>1</xdr:row>
      <xdr:rowOff>0</xdr:rowOff>
    </xdr:from>
    <xdr:ext cx="765313" cy="190500"/>
    <xdr:sp macro="" textlink="">
      <xdr:nvSpPr>
        <xdr:cNvPr id="1427" name="Control 3" hidden="1">
          <a:extLst>
            <a:ext uri="{63B3BB69-23CF-44E3-9099-C40C66FF867C}">
              <a14:compatExt xmlns:a14="http://schemas.microsoft.com/office/drawing/2010/main" spid="_x0000_s1027"/>
            </a:ext>
          </a:extLst>
        </xdr:cNvPr>
        <xdr:cNvSpPr/>
      </xdr:nvSpPr>
      <xdr:spPr bwMode="auto">
        <a:xfrm>
          <a:off x="15406461" y="247650"/>
          <a:ext cx="765313" cy="190500"/>
        </a:xfrm>
        <a:prstGeom prst="rect">
          <a:avLst/>
        </a:prstGeom>
        <a:noFill/>
        <a:ln w="9525">
          <a:miter lim="800000"/>
          <a:headEnd/>
          <a:tailEnd/>
        </a:ln>
      </xdr:spPr>
    </xdr:sp>
    <xdr:clientData/>
  </xdr:oneCellAnchor>
  <xdr:oneCellAnchor>
    <xdr:from>
      <xdr:col>11</xdr:col>
      <xdr:colOff>228600</xdr:colOff>
      <xdr:row>1</xdr:row>
      <xdr:rowOff>0</xdr:rowOff>
    </xdr:from>
    <xdr:ext cx="765313" cy="190500"/>
    <xdr:pic>
      <xdr:nvPicPr>
        <xdr:cNvPr id="142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0500"/>
        </a:xfrm>
        <a:prstGeom prst="rect">
          <a:avLst/>
        </a:prstGeom>
        <a:noFill/>
        <a:ln w="9525">
          <a:miter lim="800000"/>
          <a:headEnd/>
          <a:tailEnd/>
        </a:ln>
      </xdr:spPr>
    </xdr:pic>
    <xdr:clientData/>
  </xdr:oneCellAnchor>
  <xdr:oneCellAnchor>
    <xdr:from>
      <xdr:col>11</xdr:col>
      <xdr:colOff>228600</xdr:colOff>
      <xdr:row>1</xdr:row>
      <xdr:rowOff>0</xdr:rowOff>
    </xdr:from>
    <xdr:ext cx="765313" cy="190500"/>
    <xdr:pic>
      <xdr:nvPicPr>
        <xdr:cNvPr id="142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0500"/>
        </a:xfrm>
        <a:prstGeom prst="rect">
          <a:avLst/>
        </a:prstGeom>
        <a:noFill/>
        <a:ln w="9525">
          <a:miter lim="800000"/>
          <a:headEnd/>
          <a:tailEnd/>
        </a:ln>
      </xdr:spPr>
    </xdr:pic>
    <xdr:clientData/>
  </xdr:oneCellAnchor>
  <xdr:oneCellAnchor>
    <xdr:from>
      <xdr:col>11</xdr:col>
      <xdr:colOff>342900</xdr:colOff>
      <xdr:row>1</xdr:row>
      <xdr:rowOff>0</xdr:rowOff>
    </xdr:from>
    <xdr:ext cx="765313" cy="190500"/>
    <xdr:pic>
      <xdr:nvPicPr>
        <xdr:cNvPr id="143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0500"/>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431" name="Control 1" hidden="1">
          <a:extLst>
            <a:ext uri="{63B3BB69-23CF-44E3-9099-C40C66FF867C}">
              <a14:compatExt xmlns:a14="http://schemas.microsoft.com/office/drawing/2010/main" spid="_x0000_s1025"/>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432" name="Control 2" hidden="1">
          <a:extLst>
            <a:ext uri="{63B3BB69-23CF-44E3-9099-C40C66FF867C}">
              <a14:compatExt xmlns:a14="http://schemas.microsoft.com/office/drawing/2010/main" spid="_x0000_s1026"/>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433" name="Control 3" hidden="1">
          <a:extLst>
            <a:ext uri="{63B3BB69-23CF-44E3-9099-C40C66FF867C}">
              <a14:compatExt xmlns:a14="http://schemas.microsoft.com/office/drawing/2010/main" spid="_x0000_s1027"/>
            </a:ext>
          </a:extLst>
        </xdr:cNvPr>
        <xdr:cNvSpPr/>
      </xdr:nvSpPr>
      <xdr:spPr bwMode="auto">
        <a:xfrm>
          <a:off x="15406461" y="24765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43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43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43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437" name="Control 1" hidden="1">
          <a:extLst>
            <a:ext uri="{63B3BB69-23CF-44E3-9099-C40C66FF867C}">
              <a14:compatExt xmlns:a14="http://schemas.microsoft.com/office/drawing/2010/main" spid="_x0000_s1025"/>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438" name="Control 2" hidden="1">
          <a:extLst>
            <a:ext uri="{63B3BB69-23CF-44E3-9099-C40C66FF867C}">
              <a14:compatExt xmlns:a14="http://schemas.microsoft.com/office/drawing/2010/main" spid="_x0000_s1026"/>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439" name="Control 3" hidden="1">
          <a:extLst>
            <a:ext uri="{63B3BB69-23CF-44E3-9099-C40C66FF867C}">
              <a14:compatExt xmlns:a14="http://schemas.microsoft.com/office/drawing/2010/main" spid="_x0000_s1027"/>
            </a:ext>
          </a:extLst>
        </xdr:cNvPr>
        <xdr:cNvSpPr/>
      </xdr:nvSpPr>
      <xdr:spPr bwMode="auto">
        <a:xfrm>
          <a:off x="15406461" y="24765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44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44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44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44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44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44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44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44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44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4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5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5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5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5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5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5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5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5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5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5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6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46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46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46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46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46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46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6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6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6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7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7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7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7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7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7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7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7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7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47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48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48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48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48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48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8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8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8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8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8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9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9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9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9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9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9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9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49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49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49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50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50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50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0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0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0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0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0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0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0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1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1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1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1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1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51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51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51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51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51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52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2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2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2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2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2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2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2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2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2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3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3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3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500"/>
    <xdr:sp macro="" textlink="">
      <xdr:nvSpPr>
        <xdr:cNvPr id="1533" name="Control 1" hidden="1">
          <a:extLst>
            <a:ext uri="{63B3BB69-23CF-44E3-9099-C40C66FF867C}">
              <a14:compatExt xmlns:a14="http://schemas.microsoft.com/office/drawing/2010/main" spid="_x0000_s1025"/>
            </a:ext>
          </a:extLst>
        </xdr:cNvPr>
        <xdr:cNvSpPr/>
      </xdr:nvSpPr>
      <xdr:spPr bwMode="auto">
        <a:xfrm>
          <a:off x="15292161" y="247650"/>
          <a:ext cx="765313" cy="190500"/>
        </a:xfrm>
        <a:prstGeom prst="rect">
          <a:avLst/>
        </a:prstGeom>
        <a:noFill/>
        <a:ln w="9525">
          <a:miter lim="800000"/>
          <a:headEnd/>
          <a:tailEnd/>
        </a:ln>
      </xdr:spPr>
    </xdr:sp>
    <xdr:clientData/>
  </xdr:oneCellAnchor>
  <xdr:oneCellAnchor>
    <xdr:from>
      <xdr:col>11</xdr:col>
      <xdr:colOff>233136</xdr:colOff>
      <xdr:row>1</xdr:row>
      <xdr:rowOff>0</xdr:rowOff>
    </xdr:from>
    <xdr:ext cx="765313" cy="190500"/>
    <xdr:sp macro="" textlink="">
      <xdr:nvSpPr>
        <xdr:cNvPr id="1534" name="Control 2" hidden="1">
          <a:extLst>
            <a:ext uri="{63B3BB69-23CF-44E3-9099-C40C66FF867C}">
              <a14:compatExt xmlns:a14="http://schemas.microsoft.com/office/drawing/2010/main" spid="_x0000_s1026"/>
            </a:ext>
          </a:extLst>
        </xdr:cNvPr>
        <xdr:cNvSpPr/>
      </xdr:nvSpPr>
      <xdr:spPr bwMode="auto">
        <a:xfrm>
          <a:off x="15292161" y="247650"/>
          <a:ext cx="765313" cy="190500"/>
        </a:xfrm>
        <a:prstGeom prst="rect">
          <a:avLst/>
        </a:prstGeom>
        <a:noFill/>
        <a:ln w="9525">
          <a:miter lim="800000"/>
          <a:headEnd/>
          <a:tailEnd/>
        </a:ln>
      </xdr:spPr>
    </xdr:sp>
    <xdr:clientData/>
  </xdr:oneCellAnchor>
  <xdr:oneCellAnchor>
    <xdr:from>
      <xdr:col>11</xdr:col>
      <xdr:colOff>347436</xdr:colOff>
      <xdr:row>1</xdr:row>
      <xdr:rowOff>0</xdr:rowOff>
    </xdr:from>
    <xdr:ext cx="765313" cy="190500"/>
    <xdr:sp macro="" textlink="">
      <xdr:nvSpPr>
        <xdr:cNvPr id="1535" name="Control 3" hidden="1">
          <a:extLst>
            <a:ext uri="{63B3BB69-23CF-44E3-9099-C40C66FF867C}">
              <a14:compatExt xmlns:a14="http://schemas.microsoft.com/office/drawing/2010/main" spid="_x0000_s1027"/>
            </a:ext>
          </a:extLst>
        </xdr:cNvPr>
        <xdr:cNvSpPr/>
      </xdr:nvSpPr>
      <xdr:spPr bwMode="auto">
        <a:xfrm>
          <a:off x="15406461" y="247650"/>
          <a:ext cx="765313" cy="190500"/>
        </a:xfrm>
        <a:prstGeom prst="rect">
          <a:avLst/>
        </a:prstGeom>
        <a:noFill/>
        <a:ln w="9525">
          <a:miter lim="800000"/>
          <a:headEnd/>
          <a:tailEnd/>
        </a:ln>
      </xdr:spPr>
    </xdr:sp>
    <xdr:clientData/>
  </xdr:oneCellAnchor>
  <xdr:oneCellAnchor>
    <xdr:from>
      <xdr:col>11</xdr:col>
      <xdr:colOff>228600</xdr:colOff>
      <xdr:row>1</xdr:row>
      <xdr:rowOff>0</xdr:rowOff>
    </xdr:from>
    <xdr:ext cx="765313" cy="190500"/>
    <xdr:pic>
      <xdr:nvPicPr>
        <xdr:cNvPr id="153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0500"/>
        </a:xfrm>
        <a:prstGeom prst="rect">
          <a:avLst/>
        </a:prstGeom>
        <a:noFill/>
        <a:ln w="9525">
          <a:miter lim="800000"/>
          <a:headEnd/>
          <a:tailEnd/>
        </a:ln>
      </xdr:spPr>
    </xdr:pic>
    <xdr:clientData/>
  </xdr:oneCellAnchor>
  <xdr:oneCellAnchor>
    <xdr:from>
      <xdr:col>11</xdr:col>
      <xdr:colOff>228600</xdr:colOff>
      <xdr:row>1</xdr:row>
      <xdr:rowOff>0</xdr:rowOff>
    </xdr:from>
    <xdr:ext cx="765313" cy="190500"/>
    <xdr:pic>
      <xdr:nvPicPr>
        <xdr:cNvPr id="153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0500"/>
        </a:xfrm>
        <a:prstGeom prst="rect">
          <a:avLst/>
        </a:prstGeom>
        <a:noFill/>
        <a:ln w="9525">
          <a:miter lim="800000"/>
          <a:headEnd/>
          <a:tailEnd/>
        </a:ln>
      </xdr:spPr>
    </xdr:pic>
    <xdr:clientData/>
  </xdr:oneCellAnchor>
  <xdr:oneCellAnchor>
    <xdr:from>
      <xdr:col>11</xdr:col>
      <xdr:colOff>342900</xdr:colOff>
      <xdr:row>1</xdr:row>
      <xdr:rowOff>0</xdr:rowOff>
    </xdr:from>
    <xdr:ext cx="765313" cy="190500"/>
    <xdr:pic>
      <xdr:nvPicPr>
        <xdr:cNvPr id="153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0500"/>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539" name="Control 1" hidden="1">
          <a:extLst>
            <a:ext uri="{63B3BB69-23CF-44E3-9099-C40C66FF867C}">
              <a14:compatExt xmlns:a14="http://schemas.microsoft.com/office/drawing/2010/main" spid="_x0000_s1025"/>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540" name="Control 2" hidden="1">
          <a:extLst>
            <a:ext uri="{63B3BB69-23CF-44E3-9099-C40C66FF867C}">
              <a14:compatExt xmlns:a14="http://schemas.microsoft.com/office/drawing/2010/main" spid="_x0000_s1026"/>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541" name="Control 3" hidden="1">
          <a:extLst>
            <a:ext uri="{63B3BB69-23CF-44E3-9099-C40C66FF867C}">
              <a14:compatExt xmlns:a14="http://schemas.microsoft.com/office/drawing/2010/main" spid="_x0000_s1027"/>
            </a:ext>
          </a:extLst>
        </xdr:cNvPr>
        <xdr:cNvSpPr/>
      </xdr:nvSpPr>
      <xdr:spPr bwMode="auto">
        <a:xfrm>
          <a:off x="15406461" y="24765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54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54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54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545" name="Control 1" hidden="1">
          <a:extLst>
            <a:ext uri="{63B3BB69-23CF-44E3-9099-C40C66FF867C}">
              <a14:compatExt xmlns:a14="http://schemas.microsoft.com/office/drawing/2010/main" spid="_x0000_s1025"/>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546" name="Control 2" hidden="1">
          <a:extLst>
            <a:ext uri="{63B3BB69-23CF-44E3-9099-C40C66FF867C}">
              <a14:compatExt xmlns:a14="http://schemas.microsoft.com/office/drawing/2010/main" spid="_x0000_s1026"/>
            </a:ext>
          </a:extLst>
        </xdr:cNvPr>
        <xdr:cNvSpPr/>
      </xdr:nvSpPr>
      <xdr:spPr bwMode="auto">
        <a:xfrm>
          <a:off x="15292161" y="24765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547" name="Control 3" hidden="1">
          <a:extLst>
            <a:ext uri="{63B3BB69-23CF-44E3-9099-C40C66FF867C}">
              <a14:compatExt xmlns:a14="http://schemas.microsoft.com/office/drawing/2010/main" spid="_x0000_s1027"/>
            </a:ext>
          </a:extLst>
        </xdr:cNvPr>
        <xdr:cNvSpPr/>
      </xdr:nvSpPr>
      <xdr:spPr bwMode="auto">
        <a:xfrm>
          <a:off x="15406461" y="24765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54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54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24765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55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24765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55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55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55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55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55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55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5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5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5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6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6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6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6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6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6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6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6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6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56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57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57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57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57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57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7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7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7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7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7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8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8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8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8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8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8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8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58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58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58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59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59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59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9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9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9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9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9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9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9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0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0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0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0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0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60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60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60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60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60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61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1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1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1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1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1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1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1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1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1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2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2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2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62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62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62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62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62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62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2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3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3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3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3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3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3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3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3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3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3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4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64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64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64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64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64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64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4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4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4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5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5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5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5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5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5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5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5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5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659"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660"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661"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66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66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66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6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6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6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6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6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7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7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7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7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7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7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7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67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67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67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68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68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68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8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8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8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8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8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8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8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9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9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9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9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9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695"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696"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697"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69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69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70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01"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02"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03"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0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0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0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0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0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0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1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1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1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713"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714"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715"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71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71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71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1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2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2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2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2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2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25"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26"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27"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2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2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3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731"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732"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733"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73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73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73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37"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38"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39"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4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4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4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4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4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4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4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4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4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2</xdr:row>
      <xdr:rowOff>0</xdr:rowOff>
    </xdr:from>
    <xdr:ext cx="765313" cy="190500"/>
    <xdr:sp macro="" textlink="">
      <xdr:nvSpPr>
        <xdr:cNvPr id="1749" name="Control 1" hidden="1">
          <a:extLst>
            <a:ext uri="{63B3BB69-23CF-44E3-9099-C40C66FF867C}">
              <a14:compatExt xmlns:a14="http://schemas.microsoft.com/office/drawing/2010/main" spid="_x0000_s1025"/>
            </a:ext>
          </a:extLst>
        </xdr:cNvPr>
        <xdr:cNvSpPr/>
      </xdr:nvSpPr>
      <xdr:spPr bwMode="auto">
        <a:xfrm>
          <a:off x="15292161" y="495300"/>
          <a:ext cx="765313" cy="190500"/>
        </a:xfrm>
        <a:prstGeom prst="rect">
          <a:avLst/>
        </a:prstGeom>
        <a:noFill/>
        <a:ln w="9525">
          <a:miter lim="800000"/>
          <a:headEnd/>
          <a:tailEnd/>
        </a:ln>
      </xdr:spPr>
    </xdr:sp>
    <xdr:clientData/>
  </xdr:oneCellAnchor>
  <xdr:oneCellAnchor>
    <xdr:from>
      <xdr:col>11</xdr:col>
      <xdr:colOff>233136</xdr:colOff>
      <xdr:row>2</xdr:row>
      <xdr:rowOff>0</xdr:rowOff>
    </xdr:from>
    <xdr:ext cx="765313" cy="190500"/>
    <xdr:sp macro="" textlink="">
      <xdr:nvSpPr>
        <xdr:cNvPr id="1750" name="Control 2" hidden="1">
          <a:extLst>
            <a:ext uri="{63B3BB69-23CF-44E3-9099-C40C66FF867C}">
              <a14:compatExt xmlns:a14="http://schemas.microsoft.com/office/drawing/2010/main" spid="_x0000_s1026"/>
            </a:ext>
          </a:extLst>
        </xdr:cNvPr>
        <xdr:cNvSpPr/>
      </xdr:nvSpPr>
      <xdr:spPr bwMode="auto">
        <a:xfrm>
          <a:off x="15292161" y="495300"/>
          <a:ext cx="765313" cy="190500"/>
        </a:xfrm>
        <a:prstGeom prst="rect">
          <a:avLst/>
        </a:prstGeom>
        <a:noFill/>
        <a:ln w="9525">
          <a:miter lim="800000"/>
          <a:headEnd/>
          <a:tailEnd/>
        </a:ln>
      </xdr:spPr>
    </xdr:sp>
    <xdr:clientData/>
  </xdr:oneCellAnchor>
  <xdr:oneCellAnchor>
    <xdr:from>
      <xdr:col>11</xdr:col>
      <xdr:colOff>347436</xdr:colOff>
      <xdr:row>2</xdr:row>
      <xdr:rowOff>0</xdr:rowOff>
    </xdr:from>
    <xdr:ext cx="765313" cy="190500"/>
    <xdr:sp macro="" textlink="">
      <xdr:nvSpPr>
        <xdr:cNvPr id="1751" name="Control 3" hidden="1">
          <a:extLst>
            <a:ext uri="{63B3BB69-23CF-44E3-9099-C40C66FF867C}">
              <a14:compatExt xmlns:a14="http://schemas.microsoft.com/office/drawing/2010/main" spid="_x0000_s1027"/>
            </a:ext>
          </a:extLst>
        </xdr:cNvPr>
        <xdr:cNvSpPr/>
      </xdr:nvSpPr>
      <xdr:spPr bwMode="auto">
        <a:xfrm>
          <a:off x="15406461" y="495300"/>
          <a:ext cx="765313" cy="190500"/>
        </a:xfrm>
        <a:prstGeom prst="rect">
          <a:avLst/>
        </a:prstGeom>
        <a:noFill/>
        <a:ln w="9525">
          <a:miter lim="800000"/>
          <a:headEnd/>
          <a:tailEnd/>
        </a:ln>
      </xdr:spPr>
    </xdr:sp>
    <xdr:clientData/>
  </xdr:oneCellAnchor>
  <xdr:oneCellAnchor>
    <xdr:from>
      <xdr:col>11</xdr:col>
      <xdr:colOff>228600</xdr:colOff>
      <xdr:row>2</xdr:row>
      <xdr:rowOff>0</xdr:rowOff>
    </xdr:from>
    <xdr:ext cx="765313" cy="190500"/>
    <xdr:pic>
      <xdr:nvPicPr>
        <xdr:cNvPr id="175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495300"/>
          <a:ext cx="765313" cy="190500"/>
        </a:xfrm>
        <a:prstGeom prst="rect">
          <a:avLst/>
        </a:prstGeom>
        <a:noFill/>
        <a:ln w="9525">
          <a:miter lim="800000"/>
          <a:headEnd/>
          <a:tailEnd/>
        </a:ln>
      </xdr:spPr>
    </xdr:pic>
    <xdr:clientData/>
  </xdr:oneCellAnchor>
  <xdr:oneCellAnchor>
    <xdr:from>
      <xdr:col>11</xdr:col>
      <xdr:colOff>228600</xdr:colOff>
      <xdr:row>2</xdr:row>
      <xdr:rowOff>0</xdr:rowOff>
    </xdr:from>
    <xdr:ext cx="765313" cy="190500"/>
    <xdr:pic>
      <xdr:nvPicPr>
        <xdr:cNvPr id="175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495300"/>
          <a:ext cx="765313" cy="190500"/>
        </a:xfrm>
        <a:prstGeom prst="rect">
          <a:avLst/>
        </a:prstGeom>
        <a:noFill/>
        <a:ln w="9525">
          <a:miter lim="800000"/>
          <a:headEnd/>
          <a:tailEnd/>
        </a:ln>
      </xdr:spPr>
    </xdr:pic>
    <xdr:clientData/>
  </xdr:oneCellAnchor>
  <xdr:oneCellAnchor>
    <xdr:from>
      <xdr:col>11</xdr:col>
      <xdr:colOff>342900</xdr:colOff>
      <xdr:row>2</xdr:row>
      <xdr:rowOff>0</xdr:rowOff>
    </xdr:from>
    <xdr:ext cx="765313" cy="190500"/>
    <xdr:pic>
      <xdr:nvPicPr>
        <xdr:cNvPr id="175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495300"/>
          <a:ext cx="765313" cy="190500"/>
        </a:xfrm>
        <a:prstGeom prst="rect">
          <a:avLst/>
        </a:prstGeom>
        <a:noFill/>
        <a:ln w="9525">
          <a:miter lim="800000"/>
          <a:headEnd/>
          <a:tailEnd/>
        </a:ln>
      </xdr:spPr>
    </xdr:pic>
    <xdr:clientData/>
  </xdr:oneCellAnchor>
  <xdr:oneCellAnchor>
    <xdr:from>
      <xdr:col>11</xdr:col>
      <xdr:colOff>233136</xdr:colOff>
      <xdr:row>2</xdr:row>
      <xdr:rowOff>0</xdr:rowOff>
    </xdr:from>
    <xdr:ext cx="765313" cy="190994"/>
    <xdr:sp macro="" textlink="">
      <xdr:nvSpPr>
        <xdr:cNvPr id="1755" name="Control 1" hidden="1">
          <a:extLst>
            <a:ext uri="{63B3BB69-23CF-44E3-9099-C40C66FF867C}">
              <a14:compatExt xmlns:a14="http://schemas.microsoft.com/office/drawing/2010/main" spid="_x0000_s1025"/>
            </a:ext>
          </a:extLst>
        </xdr:cNvPr>
        <xdr:cNvSpPr/>
      </xdr:nvSpPr>
      <xdr:spPr bwMode="auto">
        <a:xfrm>
          <a:off x="15292161" y="495300"/>
          <a:ext cx="765313" cy="190994"/>
        </a:xfrm>
        <a:prstGeom prst="rect">
          <a:avLst/>
        </a:prstGeom>
        <a:noFill/>
        <a:ln w="9525">
          <a:miter lim="800000"/>
          <a:headEnd/>
          <a:tailEnd/>
        </a:ln>
      </xdr:spPr>
    </xdr:sp>
    <xdr:clientData/>
  </xdr:oneCellAnchor>
  <xdr:oneCellAnchor>
    <xdr:from>
      <xdr:col>11</xdr:col>
      <xdr:colOff>233136</xdr:colOff>
      <xdr:row>2</xdr:row>
      <xdr:rowOff>0</xdr:rowOff>
    </xdr:from>
    <xdr:ext cx="765313" cy="190994"/>
    <xdr:sp macro="" textlink="">
      <xdr:nvSpPr>
        <xdr:cNvPr id="1756" name="Control 2" hidden="1">
          <a:extLst>
            <a:ext uri="{63B3BB69-23CF-44E3-9099-C40C66FF867C}">
              <a14:compatExt xmlns:a14="http://schemas.microsoft.com/office/drawing/2010/main" spid="_x0000_s1026"/>
            </a:ext>
          </a:extLst>
        </xdr:cNvPr>
        <xdr:cNvSpPr/>
      </xdr:nvSpPr>
      <xdr:spPr bwMode="auto">
        <a:xfrm>
          <a:off x="15292161" y="495300"/>
          <a:ext cx="765313" cy="190994"/>
        </a:xfrm>
        <a:prstGeom prst="rect">
          <a:avLst/>
        </a:prstGeom>
        <a:noFill/>
        <a:ln w="9525">
          <a:miter lim="800000"/>
          <a:headEnd/>
          <a:tailEnd/>
        </a:ln>
      </xdr:spPr>
    </xdr:sp>
    <xdr:clientData/>
  </xdr:oneCellAnchor>
  <xdr:oneCellAnchor>
    <xdr:from>
      <xdr:col>11</xdr:col>
      <xdr:colOff>347436</xdr:colOff>
      <xdr:row>2</xdr:row>
      <xdr:rowOff>0</xdr:rowOff>
    </xdr:from>
    <xdr:ext cx="765313" cy="190994"/>
    <xdr:sp macro="" textlink="">
      <xdr:nvSpPr>
        <xdr:cNvPr id="1757" name="Control 3" hidden="1">
          <a:extLst>
            <a:ext uri="{63B3BB69-23CF-44E3-9099-C40C66FF867C}">
              <a14:compatExt xmlns:a14="http://schemas.microsoft.com/office/drawing/2010/main" spid="_x0000_s1027"/>
            </a:ext>
          </a:extLst>
        </xdr:cNvPr>
        <xdr:cNvSpPr/>
      </xdr:nvSpPr>
      <xdr:spPr bwMode="auto">
        <a:xfrm>
          <a:off x="15406461" y="495300"/>
          <a:ext cx="765313" cy="190994"/>
        </a:xfrm>
        <a:prstGeom prst="rect">
          <a:avLst/>
        </a:prstGeom>
        <a:noFill/>
        <a:ln w="9525">
          <a:miter lim="800000"/>
          <a:headEnd/>
          <a:tailEnd/>
        </a:ln>
      </xdr:spPr>
    </xdr:sp>
    <xdr:clientData/>
  </xdr:oneCellAnchor>
  <xdr:oneCellAnchor>
    <xdr:from>
      <xdr:col>11</xdr:col>
      <xdr:colOff>228600</xdr:colOff>
      <xdr:row>2</xdr:row>
      <xdr:rowOff>0</xdr:rowOff>
    </xdr:from>
    <xdr:ext cx="765313" cy="193262"/>
    <xdr:pic>
      <xdr:nvPicPr>
        <xdr:cNvPr id="175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495300"/>
          <a:ext cx="765313" cy="193262"/>
        </a:xfrm>
        <a:prstGeom prst="rect">
          <a:avLst/>
        </a:prstGeom>
        <a:noFill/>
        <a:ln w="9525">
          <a:miter lim="800000"/>
          <a:headEnd/>
          <a:tailEnd/>
        </a:ln>
      </xdr:spPr>
    </xdr:pic>
    <xdr:clientData/>
  </xdr:oneCellAnchor>
  <xdr:oneCellAnchor>
    <xdr:from>
      <xdr:col>11</xdr:col>
      <xdr:colOff>228600</xdr:colOff>
      <xdr:row>2</xdr:row>
      <xdr:rowOff>0</xdr:rowOff>
    </xdr:from>
    <xdr:ext cx="765313" cy="193262"/>
    <xdr:pic>
      <xdr:nvPicPr>
        <xdr:cNvPr id="175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495300"/>
          <a:ext cx="765313" cy="193262"/>
        </a:xfrm>
        <a:prstGeom prst="rect">
          <a:avLst/>
        </a:prstGeom>
        <a:noFill/>
        <a:ln w="9525">
          <a:miter lim="800000"/>
          <a:headEnd/>
          <a:tailEnd/>
        </a:ln>
      </xdr:spPr>
    </xdr:pic>
    <xdr:clientData/>
  </xdr:oneCellAnchor>
  <xdr:oneCellAnchor>
    <xdr:from>
      <xdr:col>11</xdr:col>
      <xdr:colOff>342900</xdr:colOff>
      <xdr:row>2</xdr:row>
      <xdr:rowOff>0</xdr:rowOff>
    </xdr:from>
    <xdr:ext cx="765313" cy="193262"/>
    <xdr:pic>
      <xdr:nvPicPr>
        <xdr:cNvPr id="176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495300"/>
          <a:ext cx="765313" cy="193262"/>
        </a:xfrm>
        <a:prstGeom prst="rect">
          <a:avLst/>
        </a:prstGeom>
        <a:noFill/>
        <a:ln w="9525">
          <a:miter lim="800000"/>
          <a:headEnd/>
          <a:tailEnd/>
        </a:ln>
      </xdr:spPr>
    </xdr:pic>
    <xdr:clientData/>
  </xdr:oneCellAnchor>
  <xdr:oneCellAnchor>
    <xdr:from>
      <xdr:col>11</xdr:col>
      <xdr:colOff>233136</xdr:colOff>
      <xdr:row>2</xdr:row>
      <xdr:rowOff>0</xdr:rowOff>
    </xdr:from>
    <xdr:ext cx="765313" cy="190994"/>
    <xdr:sp macro="" textlink="">
      <xdr:nvSpPr>
        <xdr:cNvPr id="1761" name="Control 1" hidden="1">
          <a:extLst>
            <a:ext uri="{63B3BB69-23CF-44E3-9099-C40C66FF867C}">
              <a14:compatExt xmlns:a14="http://schemas.microsoft.com/office/drawing/2010/main" spid="_x0000_s1025"/>
            </a:ext>
          </a:extLst>
        </xdr:cNvPr>
        <xdr:cNvSpPr/>
      </xdr:nvSpPr>
      <xdr:spPr bwMode="auto">
        <a:xfrm>
          <a:off x="15292161" y="495300"/>
          <a:ext cx="765313" cy="190994"/>
        </a:xfrm>
        <a:prstGeom prst="rect">
          <a:avLst/>
        </a:prstGeom>
        <a:noFill/>
        <a:ln w="9525">
          <a:miter lim="800000"/>
          <a:headEnd/>
          <a:tailEnd/>
        </a:ln>
      </xdr:spPr>
    </xdr:sp>
    <xdr:clientData/>
  </xdr:oneCellAnchor>
  <xdr:oneCellAnchor>
    <xdr:from>
      <xdr:col>11</xdr:col>
      <xdr:colOff>233136</xdr:colOff>
      <xdr:row>2</xdr:row>
      <xdr:rowOff>0</xdr:rowOff>
    </xdr:from>
    <xdr:ext cx="765313" cy="190994"/>
    <xdr:sp macro="" textlink="">
      <xdr:nvSpPr>
        <xdr:cNvPr id="1762" name="Control 2" hidden="1">
          <a:extLst>
            <a:ext uri="{63B3BB69-23CF-44E3-9099-C40C66FF867C}">
              <a14:compatExt xmlns:a14="http://schemas.microsoft.com/office/drawing/2010/main" spid="_x0000_s1026"/>
            </a:ext>
          </a:extLst>
        </xdr:cNvPr>
        <xdr:cNvSpPr/>
      </xdr:nvSpPr>
      <xdr:spPr bwMode="auto">
        <a:xfrm>
          <a:off x="15292161" y="495300"/>
          <a:ext cx="765313" cy="190994"/>
        </a:xfrm>
        <a:prstGeom prst="rect">
          <a:avLst/>
        </a:prstGeom>
        <a:noFill/>
        <a:ln w="9525">
          <a:miter lim="800000"/>
          <a:headEnd/>
          <a:tailEnd/>
        </a:ln>
      </xdr:spPr>
    </xdr:sp>
    <xdr:clientData/>
  </xdr:oneCellAnchor>
  <xdr:oneCellAnchor>
    <xdr:from>
      <xdr:col>11</xdr:col>
      <xdr:colOff>347436</xdr:colOff>
      <xdr:row>2</xdr:row>
      <xdr:rowOff>0</xdr:rowOff>
    </xdr:from>
    <xdr:ext cx="765313" cy="190994"/>
    <xdr:sp macro="" textlink="">
      <xdr:nvSpPr>
        <xdr:cNvPr id="1763" name="Control 3" hidden="1">
          <a:extLst>
            <a:ext uri="{63B3BB69-23CF-44E3-9099-C40C66FF867C}">
              <a14:compatExt xmlns:a14="http://schemas.microsoft.com/office/drawing/2010/main" spid="_x0000_s1027"/>
            </a:ext>
          </a:extLst>
        </xdr:cNvPr>
        <xdr:cNvSpPr/>
      </xdr:nvSpPr>
      <xdr:spPr bwMode="auto">
        <a:xfrm>
          <a:off x="15406461" y="495300"/>
          <a:ext cx="765313" cy="190994"/>
        </a:xfrm>
        <a:prstGeom prst="rect">
          <a:avLst/>
        </a:prstGeom>
        <a:noFill/>
        <a:ln w="9525">
          <a:miter lim="800000"/>
          <a:headEnd/>
          <a:tailEnd/>
        </a:ln>
      </xdr:spPr>
    </xdr:sp>
    <xdr:clientData/>
  </xdr:oneCellAnchor>
  <xdr:oneCellAnchor>
    <xdr:from>
      <xdr:col>11</xdr:col>
      <xdr:colOff>228600</xdr:colOff>
      <xdr:row>2</xdr:row>
      <xdr:rowOff>0</xdr:rowOff>
    </xdr:from>
    <xdr:ext cx="765313" cy="193262"/>
    <xdr:pic>
      <xdr:nvPicPr>
        <xdr:cNvPr id="176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495300"/>
          <a:ext cx="765313" cy="193262"/>
        </a:xfrm>
        <a:prstGeom prst="rect">
          <a:avLst/>
        </a:prstGeom>
        <a:noFill/>
        <a:ln w="9525">
          <a:miter lim="800000"/>
          <a:headEnd/>
          <a:tailEnd/>
        </a:ln>
      </xdr:spPr>
    </xdr:pic>
    <xdr:clientData/>
  </xdr:oneCellAnchor>
  <xdr:oneCellAnchor>
    <xdr:from>
      <xdr:col>11</xdr:col>
      <xdr:colOff>228600</xdr:colOff>
      <xdr:row>2</xdr:row>
      <xdr:rowOff>0</xdr:rowOff>
    </xdr:from>
    <xdr:ext cx="765313" cy="193262"/>
    <xdr:pic>
      <xdr:nvPicPr>
        <xdr:cNvPr id="176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495300"/>
          <a:ext cx="765313" cy="193262"/>
        </a:xfrm>
        <a:prstGeom prst="rect">
          <a:avLst/>
        </a:prstGeom>
        <a:noFill/>
        <a:ln w="9525">
          <a:miter lim="800000"/>
          <a:headEnd/>
          <a:tailEnd/>
        </a:ln>
      </xdr:spPr>
    </xdr:pic>
    <xdr:clientData/>
  </xdr:oneCellAnchor>
  <xdr:oneCellAnchor>
    <xdr:from>
      <xdr:col>11</xdr:col>
      <xdr:colOff>342900</xdr:colOff>
      <xdr:row>2</xdr:row>
      <xdr:rowOff>0</xdr:rowOff>
    </xdr:from>
    <xdr:ext cx="765313" cy="193262"/>
    <xdr:pic>
      <xdr:nvPicPr>
        <xdr:cNvPr id="176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49530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767" name="Control 1" hidden="1">
          <a:extLst>
            <a:ext uri="{63B3BB69-23CF-44E3-9099-C40C66FF867C}">
              <a14:compatExt xmlns:a14="http://schemas.microsoft.com/office/drawing/2010/main" spid="_x0000_s1025"/>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768" name="Control 2" hidden="1">
          <a:extLst>
            <a:ext uri="{63B3BB69-23CF-44E3-9099-C40C66FF867C}">
              <a14:compatExt xmlns:a14="http://schemas.microsoft.com/office/drawing/2010/main" spid="_x0000_s1026"/>
            </a:ext>
          </a:extLst>
        </xdr:cNvPr>
        <xdr:cNvSpPr/>
      </xdr:nvSpPr>
      <xdr:spPr bwMode="auto">
        <a:xfrm>
          <a:off x="15292161"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769" name="Control 3" hidden="1">
          <a:extLst>
            <a:ext uri="{63B3BB69-23CF-44E3-9099-C40C66FF867C}">
              <a14:compatExt xmlns:a14="http://schemas.microsoft.com/office/drawing/2010/main" spid="_x0000_s1027"/>
            </a:ext>
          </a:extLst>
        </xdr:cNvPr>
        <xdr:cNvSpPr/>
      </xdr:nvSpPr>
      <xdr:spPr bwMode="auto">
        <a:xfrm>
          <a:off x="15406461"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77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77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77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73"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74"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75"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7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7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7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79" name="Control 1" hidden="1">
          <a:extLst>
            <a:ext uri="{63B3BB69-23CF-44E3-9099-C40C66FF867C}">
              <a14:compatExt xmlns:a14="http://schemas.microsoft.com/office/drawing/2010/main" spid="_x0000_s1025"/>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80" name="Control 2" hidden="1">
          <a:extLst>
            <a:ext uri="{63B3BB69-23CF-44E3-9099-C40C66FF867C}">
              <a14:compatExt xmlns:a14="http://schemas.microsoft.com/office/drawing/2010/main" spid="_x0000_s1026"/>
            </a:ext>
          </a:extLst>
        </xdr:cNvPr>
        <xdr:cNvSpPr/>
      </xdr:nvSpPr>
      <xdr:spPr bwMode="auto">
        <a:xfrm>
          <a:off x="15292161"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81" name="Control 3" hidden="1">
          <a:extLst>
            <a:ext uri="{63B3BB69-23CF-44E3-9099-C40C66FF867C}">
              <a14:compatExt xmlns:a14="http://schemas.microsoft.com/office/drawing/2010/main" spid="_x0000_s1027"/>
            </a:ext>
          </a:extLst>
        </xdr:cNvPr>
        <xdr:cNvSpPr/>
      </xdr:nvSpPr>
      <xdr:spPr bwMode="auto">
        <a:xfrm>
          <a:off x="15406461"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8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8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87625"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8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401925" y="0"/>
          <a:ext cx="765313" cy="193262"/>
        </a:xfrm>
        <a:prstGeom prst="rect">
          <a:avLst/>
        </a:prstGeom>
        <a:noFill/>
        <a:ln w="9525">
          <a:miter lim="800000"/>
          <a:headEnd/>
          <a:tailEnd/>
        </a:ln>
      </xdr:spPr>
    </xdr:pic>
    <xdr:clientData/>
  </xdr:oneCellAnchor>
  <xdr:twoCellAnchor editAs="oneCell">
    <xdr:from>
      <xdr:col>16</xdr:col>
      <xdr:colOff>27214</xdr:colOff>
      <xdr:row>4</xdr:row>
      <xdr:rowOff>13607</xdr:rowOff>
    </xdr:from>
    <xdr:to>
      <xdr:col>16</xdr:col>
      <xdr:colOff>322489</xdr:colOff>
      <xdr:row>4</xdr:row>
      <xdr:rowOff>853168</xdr:rowOff>
    </xdr:to>
    <xdr:pic>
      <xdr:nvPicPr>
        <xdr:cNvPr id="1785" name="Imagen 1784"/>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906014" y="1004207"/>
          <a:ext cx="295275" cy="8395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16</xdr:col>
      <xdr:colOff>27214</xdr:colOff>
      <xdr:row>4</xdr:row>
      <xdr:rowOff>13607</xdr:rowOff>
    </xdr:from>
    <xdr:ext cx="295275" cy="839561"/>
    <xdr:pic>
      <xdr:nvPicPr>
        <xdr:cNvPr id="1786" name="Imagen 178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906014" y="1004207"/>
          <a:ext cx="295275" cy="83956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xdr:rowOff>
    </xdr:from>
    <xdr:to>
      <xdr:col>3</xdr:col>
      <xdr:colOff>911677</xdr:colOff>
      <xdr:row>3</xdr:row>
      <xdr:rowOff>217714</xdr:rowOff>
    </xdr:to>
    <xdr:pic>
      <xdr:nvPicPr>
        <xdr:cNvPr id="2" name="Imagen 3" descr="Nuevo LogoSimbolo"/>
        <xdr:cNvPicPr>
          <a:picLocks noChangeAspect="1" noChangeArrowheads="1"/>
        </xdr:cNvPicPr>
      </xdr:nvPicPr>
      <xdr:blipFill>
        <a:blip xmlns:r="http://schemas.openxmlformats.org/officeDocument/2006/relationships" r:embed="rId1" cstate="print"/>
        <a:srcRect/>
        <a:stretch>
          <a:fillRect/>
        </a:stretch>
      </xdr:blipFill>
      <xdr:spPr bwMode="auto">
        <a:xfrm>
          <a:off x="0" y="1"/>
          <a:ext cx="2626177" cy="952499"/>
        </a:xfrm>
        <a:prstGeom prst="rect">
          <a:avLst/>
        </a:prstGeom>
        <a:noFill/>
        <a:ln w="9525">
          <a:noFill/>
          <a:miter lim="800000"/>
          <a:headEnd/>
          <a:tailEnd/>
        </a:ln>
      </xdr:spPr>
    </xdr:pic>
    <xdr:clientData/>
  </xdr:twoCellAnchor>
  <xdr:oneCellAnchor>
    <xdr:from>
      <xdr:col>11</xdr:col>
      <xdr:colOff>233136</xdr:colOff>
      <xdr:row>0</xdr:row>
      <xdr:rowOff>0</xdr:rowOff>
    </xdr:from>
    <xdr:ext cx="765313" cy="190500"/>
    <xdr:sp macro="" textlink="">
      <xdr:nvSpPr>
        <xdr:cNvPr id="3"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4"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5"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21"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22"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23"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2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2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2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7"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8"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9"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3"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4"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5"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39"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40"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41"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4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4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4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5"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6"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7"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1"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2"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3"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57"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58"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59"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6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6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6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3"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4"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5"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9"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0"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1"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75"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76"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77"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7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7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8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1"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2"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3"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7"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8"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9"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93"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94"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95"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9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9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9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9"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0"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1"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5"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6"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7"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11"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12"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13"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1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1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1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7"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8"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9"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23"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24"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25"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29"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30"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31"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3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3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3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5"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6"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7"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1"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2"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3"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47"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48"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49"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5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5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5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3"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4"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5"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9"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0"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1"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65"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66"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67"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6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6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7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1"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2"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3"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7"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8"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9"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8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8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8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83"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84"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85"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8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8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8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89"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90"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91"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9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9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9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95"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96"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97"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9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9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0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201"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202"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203"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20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20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20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07"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08"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09"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1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1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1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13"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14"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15"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1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1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1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219"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220"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221"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22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22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22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25"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26"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27"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2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2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3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31"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32"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33"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3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3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3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237"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238"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239"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24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24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24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43"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44"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45"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4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4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4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49"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50"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51"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5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5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5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255"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256"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257"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25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25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26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61"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62"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63"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6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6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6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67"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68"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69"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7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7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7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273"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274"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275"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27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27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27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79"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80"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81"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8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8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8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85"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86"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87"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28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28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29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291"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292"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293"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29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29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29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297"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298"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299"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0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0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0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03"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04"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05"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0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0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0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309"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310"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311"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31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31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31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15"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16"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17"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1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1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2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21"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22"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23"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2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2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2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327"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328"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329"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33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33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33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33"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34"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35"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3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3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3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39"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40"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41"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4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4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4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345"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346"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347"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34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34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35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51"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52"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53"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5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5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5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57"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58"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59"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6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6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6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363"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364"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365"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36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36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36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69"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70"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71"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7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7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7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75"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76"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77"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7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7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8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381"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382"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383"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38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38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38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87"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88"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89"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9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9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9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393"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394"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395"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39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39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39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399"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400"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401"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40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40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40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05"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06"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07"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0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0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1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11"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12"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13"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1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1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1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417"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418"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419"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42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42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42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23"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24"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25"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2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2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2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29"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30"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31"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3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3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3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435"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436"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437"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43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43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44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41"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42"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43"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4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4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4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47"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48"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49"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5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5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5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453"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454"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455"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45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45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45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59"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60"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61"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6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6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6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65"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66"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67"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6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6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7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471"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472"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473"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47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47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47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77"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78"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79"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8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8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8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83"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84"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85"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8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8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48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489"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490"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491"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49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49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49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495"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496"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497"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49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49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0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01"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02"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03"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0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0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0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507"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508"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509"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51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51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51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13"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14"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15"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1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1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1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19"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20"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21"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2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2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2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525"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526"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527"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52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52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53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31"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32"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33"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3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3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3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37"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38"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39"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4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4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4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543"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544"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545"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54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54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54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49"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50"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51"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5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5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5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55"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56"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57"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5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5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6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561"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562"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563"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56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56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56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67"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68"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69"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7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7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7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73"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74"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75"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7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7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7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579"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580"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581"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58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58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58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85"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86"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87"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8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8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9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591"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592"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593"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59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59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59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597"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598"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599"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60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60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60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03"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04"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05"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0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0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0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09"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10"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11"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1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1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1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615"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616"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617"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61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61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62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21"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22"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23"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2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2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2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27"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28"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29"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3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3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3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633"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634"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635"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63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63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63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39"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40"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41"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4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4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4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45"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46"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47"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4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4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5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2</xdr:row>
      <xdr:rowOff>0</xdr:rowOff>
    </xdr:from>
    <xdr:ext cx="765313" cy="190500"/>
    <xdr:sp macro="" textlink="">
      <xdr:nvSpPr>
        <xdr:cNvPr id="651" name="Control 1" hidden="1">
          <a:extLst>
            <a:ext uri="{63B3BB69-23CF-44E3-9099-C40C66FF867C}">
              <a14:compatExt xmlns:a14="http://schemas.microsoft.com/office/drawing/2010/main" spid="_x0000_s1025"/>
            </a:ext>
          </a:extLst>
        </xdr:cNvPr>
        <xdr:cNvSpPr/>
      </xdr:nvSpPr>
      <xdr:spPr bwMode="auto">
        <a:xfrm>
          <a:off x="7853136" y="381000"/>
          <a:ext cx="765313" cy="190500"/>
        </a:xfrm>
        <a:prstGeom prst="rect">
          <a:avLst/>
        </a:prstGeom>
        <a:noFill/>
        <a:ln w="9525">
          <a:miter lim="800000"/>
          <a:headEnd/>
          <a:tailEnd/>
        </a:ln>
      </xdr:spPr>
    </xdr:sp>
    <xdr:clientData/>
  </xdr:oneCellAnchor>
  <xdr:oneCellAnchor>
    <xdr:from>
      <xdr:col>11</xdr:col>
      <xdr:colOff>233136</xdr:colOff>
      <xdr:row>2</xdr:row>
      <xdr:rowOff>0</xdr:rowOff>
    </xdr:from>
    <xdr:ext cx="765313" cy="190500"/>
    <xdr:sp macro="" textlink="">
      <xdr:nvSpPr>
        <xdr:cNvPr id="652" name="Control 2" hidden="1">
          <a:extLst>
            <a:ext uri="{63B3BB69-23CF-44E3-9099-C40C66FF867C}">
              <a14:compatExt xmlns:a14="http://schemas.microsoft.com/office/drawing/2010/main" spid="_x0000_s1026"/>
            </a:ext>
          </a:extLst>
        </xdr:cNvPr>
        <xdr:cNvSpPr/>
      </xdr:nvSpPr>
      <xdr:spPr bwMode="auto">
        <a:xfrm>
          <a:off x="7853136" y="381000"/>
          <a:ext cx="765313" cy="190500"/>
        </a:xfrm>
        <a:prstGeom prst="rect">
          <a:avLst/>
        </a:prstGeom>
        <a:noFill/>
        <a:ln w="9525">
          <a:miter lim="800000"/>
          <a:headEnd/>
          <a:tailEnd/>
        </a:ln>
      </xdr:spPr>
    </xdr:sp>
    <xdr:clientData/>
  </xdr:oneCellAnchor>
  <xdr:oneCellAnchor>
    <xdr:from>
      <xdr:col>11</xdr:col>
      <xdr:colOff>347436</xdr:colOff>
      <xdr:row>2</xdr:row>
      <xdr:rowOff>0</xdr:rowOff>
    </xdr:from>
    <xdr:ext cx="765313" cy="190500"/>
    <xdr:sp macro="" textlink="">
      <xdr:nvSpPr>
        <xdr:cNvPr id="653" name="Control 3" hidden="1">
          <a:extLst>
            <a:ext uri="{63B3BB69-23CF-44E3-9099-C40C66FF867C}">
              <a14:compatExt xmlns:a14="http://schemas.microsoft.com/office/drawing/2010/main" spid="_x0000_s1027"/>
            </a:ext>
          </a:extLst>
        </xdr:cNvPr>
        <xdr:cNvSpPr/>
      </xdr:nvSpPr>
      <xdr:spPr bwMode="auto">
        <a:xfrm>
          <a:off x="7967436" y="381000"/>
          <a:ext cx="765313" cy="190500"/>
        </a:xfrm>
        <a:prstGeom prst="rect">
          <a:avLst/>
        </a:prstGeom>
        <a:noFill/>
        <a:ln w="9525">
          <a:miter lim="800000"/>
          <a:headEnd/>
          <a:tailEnd/>
        </a:ln>
      </xdr:spPr>
    </xdr:sp>
    <xdr:clientData/>
  </xdr:oneCellAnchor>
  <xdr:oneCellAnchor>
    <xdr:from>
      <xdr:col>11</xdr:col>
      <xdr:colOff>228600</xdr:colOff>
      <xdr:row>2</xdr:row>
      <xdr:rowOff>0</xdr:rowOff>
    </xdr:from>
    <xdr:ext cx="765313" cy="190500"/>
    <xdr:pic>
      <xdr:nvPicPr>
        <xdr:cNvPr id="65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381000"/>
          <a:ext cx="765313" cy="190500"/>
        </a:xfrm>
        <a:prstGeom prst="rect">
          <a:avLst/>
        </a:prstGeom>
        <a:noFill/>
        <a:ln w="9525">
          <a:miter lim="800000"/>
          <a:headEnd/>
          <a:tailEnd/>
        </a:ln>
      </xdr:spPr>
    </xdr:pic>
    <xdr:clientData/>
  </xdr:oneCellAnchor>
  <xdr:oneCellAnchor>
    <xdr:from>
      <xdr:col>11</xdr:col>
      <xdr:colOff>228600</xdr:colOff>
      <xdr:row>2</xdr:row>
      <xdr:rowOff>0</xdr:rowOff>
    </xdr:from>
    <xdr:ext cx="765313" cy="190500"/>
    <xdr:pic>
      <xdr:nvPicPr>
        <xdr:cNvPr id="65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381000"/>
          <a:ext cx="765313" cy="190500"/>
        </a:xfrm>
        <a:prstGeom prst="rect">
          <a:avLst/>
        </a:prstGeom>
        <a:noFill/>
        <a:ln w="9525">
          <a:miter lim="800000"/>
          <a:headEnd/>
          <a:tailEnd/>
        </a:ln>
      </xdr:spPr>
    </xdr:pic>
    <xdr:clientData/>
  </xdr:oneCellAnchor>
  <xdr:oneCellAnchor>
    <xdr:from>
      <xdr:col>11</xdr:col>
      <xdr:colOff>342900</xdr:colOff>
      <xdr:row>2</xdr:row>
      <xdr:rowOff>0</xdr:rowOff>
    </xdr:from>
    <xdr:ext cx="765313" cy="190500"/>
    <xdr:pic>
      <xdr:nvPicPr>
        <xdr:cNvPr id="65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381000"/>
          <a:ext cx="765313" cy="190500"/>
        </a:xfrm>
        <a:prstGeom prst="rect">
          <a:avLst/>
        </a:prstGeom>
        <a:noFill/>
        <a:ln w="9525">
          <a:miter lim="800000"/>
          <a:headEnd/>
          <a:tailEnd/>
        </a:ln>
      </xdr:spPr>
    </xdr:pic>
    <xdr:clientData/>
  </xdr:oneCellAnchor>
  <xdr:oneCellAnchor>
    <xdr:from>
      <xdr:col>11</xdr:col>
      <xdr:colOff>233136</xdr:colOff>
      <xdr:row>2</xdr:row>
      <xdr:rowOff>0</xdr:rowOff>
    </xdr:from>
    <xdr:ext cx="765313" cy="190994"/>
    <xdr:sp macro="" textlink="">
      <xdr:nvSpPr>
        <xdr:cNvPr id="657" name="Control 1" hidden="1">
          <a:extLst>
            <a:ext uri="{63B3BB69-23CF-44E3-9099-C40C66FF867C}">
              <a14:compatExt xmlns:a14="http://schemas.microsoft.com/office/drawing/2010/main" spid="_x0000_s1025"/>
            </a:ext>
          </a:extLst>
        </xdr:cNvPr>
        <xdr:cNvSpPr/>
      </xdr:nvSpPr>
      <xdr:spPr bwMode="auto">
        <a:xfrm>
          <a:off x="7853136" y="381000"/>
          <a:ext cx="765313" cy="190994"/>
        </a:xfrm>
        <a:prstGeom prst="rect">
          <a:avLst/>
        </a:prstGeom>
        <a:noFill/>
        <a:ln w="9525">
          <a:miter lim="800000"/>
          <a:headEnd/>
          <a:tailEnd/>
        </a:ln>
      </xdr:spPr>
    </xdr:sp>
    <xdr:clientData/>
  </xdr:oneCellAnchor>
  <xdr:oneCellAnchor>
    <xdr:from>
      <xdr:col>11</xdr:col>
      <xdr:colOff>233136</xdr:colOff>
      <xdr:row>2</xdr:row>
      <xdr:rowOff>0</xdr:rowOff>
    </xdr:from>
    <xdr:ext cx="765313" cy="190994"/>
    <xdr:sp macro="" textlink="">
      <xdr:nvSpPr>
        <xdr:cNvPr id="658" name="Control 2" hidden="1">
          <a:extLst>
            <a:ext uri="{63B3BB69-23CF-44E3-9099-C40C66FF867C}">
              <a14:compatExt xmlns:a14="http://schemas.microsoft.com/office/drawing/2010/main" spid="_x0000_s1026"/>
            </a:ext>
          </a:extLst>
        </xdr:cNvPr>
        <xdr:cNvSpPr/>
      </xdr:nvSpPr>
      <xdr:spPr bwMode="auto">
        <a:xfrm>
          <a:off x="7853136" y="381000"/>
          <a:ext cx="765313" cy="190994"/>
        </a:xfrm>
        <a:prstGeom prst="rect">
          <a:avLst/>
        </a:prstGeom>
        <a:noFill/>
        <a:ln w="9525">
          <a:miter lim="800000"/>
          <a:headEnd/>
          <a:tailEnd/>
        </a:ln>
      </xdr:spPr>
    </xdr:sp>
    <xdr:clientData/>
  </xdr:oneCellAnchor>
  <xdr:oneCellAnchor>
    <xdr:from>
      <xdr:col>11</xdr:col>
      <xdr:colOff>347436</xdr:colOff>
      <xdr:row>2</xdr:row>
      <xdr:rowOff>0</xdr:rowOff>
    </xdr:from>
    <xdr:ext cx="765313" cy="190994"/>
    <xdr:sp macro="" textlink="">
      <xdr:nvSpPr>
        <xdr:cNvPr id="659" name="Control 3" hidden="1">
          <a:extLst>
            <a:ext uri="{63B3BB69-23CF-44E3-9099-C40C66FF867C}">
              <a14:compatExt xmlns:a14="http://schemas.microsoft.com/office/drawing/2010/main" spid="_x0000_s1027"/>
            </a:ext>
          </a:extLst>
        </xdr:cNvPr>
        <xdr:cNvSpPr/>
      </xdr:nvSpPr>
      <xdr:spPr bwMode="auto">
        <a:xfrm>
          <a:off x="7967436" y="381000"/>
          <a:ext cx="765313" cy="190994"/>
        </a:xfrm>
        <a:prstGeom prst="rect">
          <a:avLst/>
        </a:prstGeom>
        <a:noFill/>
        <a:ln w="9525">
          <a:miter lim="800000"/>
          <a:headEnd/>
          <a:tailEnd/>
        </a:ln>
      </xdr:spPr>
    </xdr:sp>
    <xdr:clientData/>
  </xdr:oneCellAnchor>
  <xdr:oneCellAnchor>
    <xdr:from>
      <xdr:col>11</xdr:col>
      <xdr:colOff>228600</xdr:colOff>
      <xdr:row>2</xdr:row>
      <xdr:rowOff>0</xdr:rowOff>
    </xdr:from>
    <xdr:ext cx="765313" cy="193262"/>
    <xdr:pic>
      <xdr:nvPicPr>
        <xdr:cNvPr id="66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381000"/>
          <a:ext cx="765313" cy="193262"/>
        </a:xfrm>
        <a:prstGeom prst="rect">
          <a:avLst/>
        </a:prstGeom>
        <a:noFill/>
        <a:ln w="9525">
          <a:miter lim="800000"/>
          <a:headEnd/>
          <a:tailEnd/>
        </a:ln>
      </xdr:spPr>
    </xdr:pic>
    <xdr:clientData/>
  </xdr:oneCellAnchor>
  <xdr:oneCellAnchor>
    <xdr:from>
      <xdr:col>11</xdr:col>
      <xdr:colOff>228600</xdr:colOff>
      <xdr:row>2</xdr:row>
      <xdr:rowOff>0</xdr:rowOff>
    </xdr:from>
    <xdr:ext cx="765313" cy="193262"/>
    <xdr:pic>
      <xdr:nvPicPr>
        <xdr:cNvPr id="66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381000"/>
          <a:ext cx="765313" cy="193262"/>
        </a:xfrm>
        <a:prstGeom prst="rect">
          <a:avLst/>
        </a:prstGeom>
        <a:noFill/>
        <a:ln w="9525">
          <a:miter lim="800000"/>
          <a:headEnd/>
          <a:tailEnd/>
        </a:ln>
      </xdr:spPr>
    </xdr:pic>
    <xdr:clientData/>
  </xdr:oneCellAnchor>
  <xdr:oneCellAnchor>
    <xdr:from>
      <xdr:col>11</xdr:col>
      <xdr:colOff>342900</xdr:colOff>
      <xdr:row>2</xdr:row>
      <xdr:rowOff>0</xdr:rowOff>
    </xdr:from>
    <xdr:ext cx="765313" cy="193262"/>
    <xdr:pic>
      <xdr:nvPicPr>
        <xdr:cNvPr id="66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381000"/>
          <a:ext cx="765313" cy="193262"/>
        </a:xfrm>
        <a:prstGeom prst="rect">
          <a:avLst/>
        </a:prstGeom>
        <a:noFill/>
        <a:ln w="9525">
          <a:miter lim="800000"/>
          <a:headEnd/>
          <a:tailEnd/>
        </a:ln>
      </xdr:spPr>
    </xdr:pic>
    <xdr:clientData/>
  </xdr:oneCellAnchor>
  <xdr:oneCellAnchor>
    <xdr:from>
      <xdr:col>11</xdr:col>
      <xdr:colOff>233136</xdr:colOff>
      <xdr:row>2</xdr:row>
      <xdr:rowOff>0</xdr:rowOff>
    </xdr:from>
    <xdr:ext cx="765313" cy="190994"/>
    <xdr:sp macro="" textlink="">
      <xdr:nvSpPr>
        <xdr:cNvPr id="663" name="Control 1" hidden="1">
          <a:extLst>
            <a:ext uri="{63B3BB69-23CF-44E3-9099-C40C66FF867C}">
              <a14:compatExt xmlns:a14="http://schemas.microsoft.com/office/drawing/2010/main" spid="_x0000_s1025"/>
            </a:ext>
          </a:extLst>
        </xdr:cNvPr>
        <xdr:cNvSpPr/>
      </xdr:nvSpPr>
      <xdr:spPr bwMode="auto">
        <a:xfrm>
          <a:off x="7853136" y="381000"/>
          <a:ext cx="765313" cy="190994"/>
        </a:xfrm>
        <a:prstGeom prst="rect">
          <a:avLst/>
        </a:prstGeom>
        <a:noFill/>
        <a:ln w="9525">
          <a:miter lim="800000"/>
          <a:headEnd/>
          <a:tailEnd/>
        </a:ln>
      </xdr:spPr>
    </xdr:sp>
    <xdr:clientData/>
  </xdr:oneCellAnchor>
  <xdr:oneCellAnchor>
    <xdr:from>
      <xdr:col>11</xdr:col>
      <xdr:colOff>233136</xdr:colOff>
      <xdr:row>2</xdr:row>
      <xdr:rowOff>0</xdr:rowOff>
    </xdr:from>
    <xdr:ext cx="765313" cy="190994"/>
    <xdr:sp macro="" textlink="">
      <xdr:nvSpPr>
        <xdr:cNvPr id="664" name="Control 2" hidden="1">
          <a:extLst>
            <a:ext uri="{63B3BB69-23CF-44E3-9099-C40C66FF867C}">
              <a14:compatExt xmlns:a14="http://schemas.microsoft.com/office/drawing/2010/main" spid="_x0000_s1026"/>
            </a:ext>
          </a:extLst>
        </xdr:cNvPr>
        <xdr:cNvSpPr/>
      </xdr:nvSpPr>
      <xdr:spPr bwMode="auto">
        <a:xfrm>
          <a:off x="7853136" y="381000"/>
          <a:ext cx="765313" cy="190994"/>
        </a:xfrm>
        <a:prstGeom prst="rect">
          <a:avLst/>
        </a:prstGeom>
        <a:noFill/>
        <a:ln w="9525">
          <a:miter lim="800000"/>
          <a:headEnd/>
          <a:tailEnd/>
        </a:ln>
      </xdr:spPr>
    </xdr:sp>
    <xdr:clientData/>
  </xdr:oneCellAnchor>
  <xdr:oneCellAnchor>
    <xdr:from>
      <xdr:col>11</xdr:col>
      <xdr:colOff>347436</xdr:colOff>
      <xdr:row>2</xdr:row>
      <xdr:rowOff>0</xdr:rowOff>
    </xdr:from>
    <xdr:ext cx="765313" cy="190994"/>
    <xdr:sp macro="" textlink="">
      <xdr:nvSpPr>
        <xdr:cNvPr id="665" name="Control 3" hidden="1">
          <a:extLst>
            <a:ext uri="{63B3BB69-23CF-44E3-9099-C40C66FF867C}">
              <a14:compatExt xmlns:a14="http://schemas.microsoft.com/office/drawing/2010/main" spid="_x0000_s1027"/>
            </a:ext>
          </a:extLst>
        </xdr:cNvPr>
        <xdr:cNvSpPr/>
      </xdr:nvSpPr>
      <xdr:spPr bwMode="auto">
        <a:xfrm>
          <a:off x="7967436" y="381000"/>
          <a:ext cx="765313" cy="190994"/>
        </a:xfrm>
        <a:prstGeom prst="rect">
          <a:avLst/>
        </a:prstGeom>
        <a:noFill/>
        <a:ln w="9525">
          <a:miter lim="800000"/>
          <a:headEnd/>
          <a:tailEnd/>
        </a:ln>
      </xdr:spPr>
    </xdr:sp>
    <xdr:clientData/>
  </xdr:oneCellAnchor>
  <xdr:oneCellAnchor>
    <xdr:from>
      <xdr:col>11</xdr:col>
      <xdr:colOff>228600</xdr:colOff>
      <xdr:row>2</xdr:row>
      <xdr:rowOff>0</xdr:rowOff>
    </xdr:from>
    <xdr:ext cx="765313" cy="193262"/>
    <xdr:pic>
      <xdr:nvPicPr>
        <xdr:cNvPr id="66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381000"/>
          <a:ext cx="765313" cy="193262"/>
        </a:xfrm>
        <a:prstGeom prst="rect">
          <a:avLst/>
        </a:prstGeom>
        <a:noFill/>
        <a:ln w="9525">
          <a:miter lim="800000"/>
          <a:headEnd/>
          <a:tailEnd/>
        </a:ln>
      </xdr:spPr>
    </xdr:pic>
    <xdr:clientData/>
  </xdr:oneCellAnchor>
  <xdr:oneCellAnchor>
    <xdr:from>
      <xdr:col>11</xdr:col>
      <xdr:colOff>228600</xdr:colOff>
      <xdr:row>2</xdr:row>
      <xdr:rowOff>0</xdr:rowOff>
    </xdr:from>
    <xdr:ext cx="765313" cy="193262"/>
    <xdr:pic>
      <xdr:nvPicPr>
        <xdr:cNvPr id="66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381000"/>
          <a:ext cx="765313" cy="193262"/>
        </a:xfrm>
        <a:prstGeom prst="rect">
          <a:avLst/>
        </a:prstGeom>
        <a:noFill/>
        <a:ln w="9525">
          <a:miter lim="800000"/>
          <a:headEnd/>
          <a:tailEnd/>
        </a:ln>
      </xdr:spPr>
    </xdr:pic>
    <xdr:clientData/>
  </xdr:oneCellAnchor>
  <xdr:oneCellAnchor>
    <xdr:from>
      <xdr:col>11</xdr:col>
      <xdr:colOff>342900</xdr:colOff>
      <xdr:row>2</xdr:row>
      <xdr:rowOff>0</xdr:rowOff>
    </xdr:from>
    <xdr:ext cx="765313" cy="193262"/>
    <xdr:pic>
      <xdr:nvPicPr>
        <xdr:cNvPr id="66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38100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669"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670"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671"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67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67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67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75"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76"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77"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7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7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8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81"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82"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83"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8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8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8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687"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688"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689"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69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69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69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93"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694"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695"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69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69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69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699"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00"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01"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0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0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0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705"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706"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707"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70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70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71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11"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12"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13"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1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1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1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17"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18"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19"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2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2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2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723"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724"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725"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72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72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72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29"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30"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31"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3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3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3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35"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36"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37"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3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3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4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741"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742"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743"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74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74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74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47"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48"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49"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5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5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5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53"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54"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55"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5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5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5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759"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760"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761"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76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76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76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65"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66"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67"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6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6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7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71"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72"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73"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7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7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7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777"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778"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779"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78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78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78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83"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84"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85"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8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8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8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789"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790"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791"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79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79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79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795"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796"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797"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79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79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80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01"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02"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03"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0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0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0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07"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08"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09"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1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1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1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813"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814"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815"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81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81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81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19"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20"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21"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2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2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2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25"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26"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27"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2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2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3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831"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832"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833"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83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83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83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37"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38"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39"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4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4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4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43"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44"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45"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4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4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4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849"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850"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851"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85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85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85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55"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56"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57"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5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5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6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61"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62"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63"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6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6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6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867"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868"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869"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87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87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87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73"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74"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75"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7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7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7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879"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880"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881"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88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88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88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500"/>
    <xdr:sp macro="" textlink="">
      <xdr:nvSpPr>
        <xdr:cNvPr id="885" name="Control 1" hidden="1">
          <a:extLst>
            <a:ext uri="{63B3BB69-23CF-44E3-9099-C40C66FF867C}">
              <a14:compatExt xmlns:a14="http://schemas.microsoft.com/office/drawing/2010/main" spid="_x0000_s1025"/>
            </a:ext>
          </a:extLst>
        </xdr:cNvPr>
        <xdr:cNvSpPr/>
      </xdr:nvSpPr>
      <xdr:spPr bwMode="auto">
        <a:xfrm>
          <a:off x="7853136" y="190500"/>
          <a:ext cx="765313" cy="190500"/>
        </a:xfrm>
        <a:prstGeom prst="rect">
          <a:avLst/>
        </a:prstGeom>
        <a:noFill/>
        <a:ln w="9525">
          <a:miter lim="800000"/>
          <a:headEnd/>
          <a:tailEnd/>
        </a:ln>
      </xdr:spPr>
    </xdr:sp>
    <xdr:clientData/>
  </xdr:oneCellAnchor>
  <xdr:oneCellAnchor>
    <xdr:from>
      <xdr:col>11</xdr:col>
      <xdr:colOff>233136</xdr:colOff>
      <xdr:row>1</xdr:row>
      <xdr:rowOff>0</xdr:rowOff>
    </xdr:from>
    <xdr:ext cx="765313" cy="190500"/>
    <xdr:sp macro="" textlink="">
      <xdr:nvSpPr>
        <xdr:cNvPr id="886" name="Control 2" hidden="1">
          <a:extLst>
            <a:ext uri="{63B3BB69-23CF-44E3-9099-C40C66FF867C}">
              <a14:compatExt xmlns:a14="http://schemas.microsoft.com/office/drawing/2010/main" spid="_x0000_s1026"/>
            </a:ext>
          </a:extLst>
        </xdr:cNvPr>
        <xdr:cNvSpPr/>
      </xdr:nvSpPr>
      <xdr:spPr bwMode="auto">
        <a:xfrm>
          <a:off x="7853136" y="190500"/>
          <a:ext cx="765313" cy="190500"/>
        </a:xfrm>
        <a:prstGeom prst="rect">
          <a:avLst/>
        </a:prstGeom>
        <a:noFill/>
        <a:ln w="9525">
          <a:miter lim="800000"/>
          <a:headEnd/>
          <a:tailEnd/>
        </a:ln>
      </xdr:spPr>
    </xdr:sp>
    <xdr:clientData/>
  </xdr:oneCellAnchor>
  <xdr:oneCellAnchor>
    <xdr:from>
      <xdr:col>11</xdr:col>
      <xdr:colOff>347436</xdr:colOff>
      <xdr:row>1</xdr:row>
      <xdr:rowOff>0</xdr:rowOff>
    </xdr:from>
    <xdr:ext cx="765313" cy="190500"/>
    <xdr:sp macro="" textlink="">
      <xdr:nvSpPr>
        <xdr:cNvPr id="887" name="Control 3" hidden="1">
          <a:extLst>
            <a:ext uri="{63B3BB69-23CF-44E3-9099-C40C66FF867C}">
              <a14:compatExt xmlns:a14="http://schemas.microsoft.com/office/drawing/2010/main" spid="_x0000_s1027"/>
            </a:ext>
          </a:extLst>
        </xdr:cNvPr>
        <xdr:cNvSpPr/>
      </xdr:nvSpPr>
      <xdr:spPr bwMode="auto">
        <a:xfrm>
          <a:off x="7967436" y="190500"/>
          <a:ext cx="765313" cy="190500"/>
        </a:xfrm>
        <a:prstGeom prst="rect">
          <a:avLst/>
        </a:prstGeom>
        <a:noFill/>
        <a:ln w="9525">
          <a:miter lim="800000"/>
          <a:headEnd/>
          <a:tailEnd/>
        </a:ln>
      </xdr:spPr>
    </xdr:sp>
    <xdr:clientData/>
  </xdr:oneCellAnchor>
  <xdr:oneCellAnchor>
    <xdr:from>
      <xdr:col>11</xdr:col>
      <xdr:colOff>228600</xdr:colOff>
      <xdr:row>1</xdr:row>
      <xdr:rowOff>0</xdr:rowOff>
    </xdr:from>
    <xdr:ext cx="765313" cy="190500"/>
    <xdr:pic>
      <xdr:nvPicPr>
        <xdr:cNvPr id="88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190500"/>
          <a:ext cx="765313" cy="190500"/>
        </a:xfrm>
        <a:prstGeom prst="rect">
          <a:avLst/>
        </a:prstGeom>
        <a:noFill/>
        <a:ln w="9525">
          <a:miter lim="800000"/>
          <a:headEnd/>
          <a:tailEnd/>
        </a:ln>
      </xdr:spPr>
    </xdr:pic>
    <xdr:clientData/>
  </xdr:oneCellAnchor>
  <xdr:oneCellAnchor>
    <xdr:from>
      <xdr:col>11</xdr:col>
      <xdr:colOff>228600</xdr:colOff>
      <xdr:row>1</xdr:row>
      <xdr:rowOff>0</xdr:rowOff>
    </xdr:from>
    <xdr:ext cx="765313" cy="190500"/>
    <xdr:pic>
      <xdr:nvPicPr>
        <xdr:cNvPr id="88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190500"/>
          <a:ext cx="765313" cy="190500"/>
        </a:xfrm>
        <a:prstGeom prst="rect">
          <a:avLst/>
        </a:prstGeom>
        <a:noFill/>
        <a:ln w="9525">
          <a:miter lim="800000"/>
          <a:headEnd/>
          <a:tailEnd/>
        </a:ln>
      </xdr:spPr>
    </xdr:pic>
    <xdr:clientData/>
  </xdr:oneCellAnchor>
  <xdr:oneCellAnchor>
    <xdr:from>
      <xdr:col>11</xdr:col>
      <xdr:colOff>342900</xdr:colOff>
      <xdr:row>1</xdr:row>
      <xdr:rowOff>0</xdr:rowOff>
    </xdr:from>
    <xdr:ext cx="765313" cy="190500"/>
    <xdr:pic>
      <xdr:nvPicPr>
        <xdr:cNvPr id="89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190500"/>
          <a:ext cx="765313" cy="190500"/>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891" name="Control 1" hidden="1">
          <a:extLst>
            <a:ext uri="{63B3BB69-23CF-44E3-9099-C40C66FF867C}">
              <a14:compatExt xmlns:a14="http://schemas.microsoft.com/office/drawing/2010/main" spid="_x0000_s1025"/>
            </a:ext>
          </a:extLst>
        </xdr:cNvPr>
        <xdr:cNvSpPr/>
      </xdr:nvSpPr>
      <xdr:spPr bwMode="auto">
        <a:xfrm>
          <a:off x="7853136" y="19050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892" name="Control 2" hidden="1">
          <a:extLst>
            <a:ext uri="{63B3BB69-23CF-44E3-9099-C40C66FF867C}">
              <a14:compatExt xmlns:a14="http://schemas.microsoft.com/office/drawing/2010/main" spid="_x0000_s1026"/>
            </a:ext>
          </a:extLst>
        </xdr:cNvPr>
        <xdr:cNvSpPr/>
      </xdr:nvSpPr>
      <xdr:spPr bwMode="auto">
        <a:xfrm>
          <a:off x="7853136" y="19050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893" name="Control 3" hidden="1">
          <a:extLst>
            <a:ext uri="{63B3BB69-23CF-44E3-9099-C40C66FF867C}">
              <a14:compatExt xmlns:a14="http://schemas.microsoft.com/office/drawing/2010/main" spid="_x0000_s1027"/>
            </a:ext>
          </a:extLst>
        </xdr:cNvPr>
        <xdr:cNvSpPr/>
      </xdr:nvSpPr>
      <xdr:spPr bwMode="auto">
        <a:xfrm>
          <a:off x="7967436" y="19050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89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19050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89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19050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89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19050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897" name="Control 1" hidden="1">
          <a:extLst>
            <a:ext uri="{63B3BB69-23CF-44E3-9099-C40C66FF867C}">
              <a14:compatExt xmlns:a14="http://schemas.microsoft.com/office/drawing/2010/main" spid="_x0000_s1025"/>
            </a:ext>
          </a:extLst>
        </xdr:cNvPr>
        <xdr:cNvSpPr/>
      </xdr:nvSpPr>
      <xdr:spPr bwMode="auto">
        <a:xfrm>
          <a:off x="7853136" y="19050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898" name="Control 2" hidden="1">
          <a:extLst>
            <a:ext uri="{63B3BB69-23CF-44E3-9099-C40C66FF867C}">
              <a14:compatExt xmlns:a14="http://schemas.microsoft.com/office/drawing/2010/main" spid="_x0000_s1026"/>
            </a:ext>
          </a:extLst>
        </xdr:cNvPr>
        <xdr:cNvSpPr/>
      </xdr:nvSpPr>
      <xdr:spPr bwMode="auto">
        <a:xfrm>
          <a:off x="7853136" y="19050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899" name="Control 3" hidden="1">
          <a:extLst>
            <a:ext uri="{63B3BB69-23CF-44E3-9099-C40C66FF867C}">
              <a14:compatExt xmlns:a14="http://schemas.microsoft.com/office/drawing/2010/main" spid="_x0000_s1027"/>
            </a:ext>
          </a:extLst>
        </xdr:cNvPr>
        <xdr:cNvSpPr/>
      </xdr:nvSpPr>
      <xdr:spPr bwMode="auto">
        <a:xfrm>
          <a:off x="7967436" y="19050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90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19050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90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19050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90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19050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903"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904"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905"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90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90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90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09"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10"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11"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1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1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1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15"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16"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17"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1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1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2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921"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922"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923"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92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92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92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27"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28"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29"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3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3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3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33"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34"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35"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3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3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3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939"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940"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941"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94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94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94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45"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46"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47"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4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4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5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51"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52"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53"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5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5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5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957"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958"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959"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96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96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96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63"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64"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65"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6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6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6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69"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70"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71"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7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7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7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975"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976"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977"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97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97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98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81"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82"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83"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8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8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8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987"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988"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989"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99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99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99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500"/>
    <xdr:sp macro="" textlink="">
      <xdr:nvSpPr>
        <xdr:cNvPr id="993" name="Control 1" hidden="1">
          <a:extLst>
            <a:ext uri="{63B3BB69-23CF-44E3-9099-C40C66FF867C}">
              <a14:compatExt xmlns:a14="http://schemas.microsoft.com/office/drawing/2010/main" spid="_x0000_s1025"/>
            </a:ext>
          </a:extLst>
        </xdr:cNvPr>
        <xdr:cNvSpPr/>
      </xdr:nvSpPr>
      <xdr:spPr bwMode="auto">
        <a:xfrm>
          <a:off x="7853136" y="190500"/>
          <a:ext cx="765313" cy="190500"/>
        </a:xfrm>
        <a:prstGeom prst="rect">
          <a:avLst/>
        </a:prstGeom>
        <a:noFill/>
        <a:ln w="9525">
          <a:miter lim="800000"/>
          <a:headEnd/>
          <a:tailEnd/>
        </a:ln>
      </xdr:spPr>
    </xdr:sp>
    <xdr:clientData/>
  </xdr:oneCellAnchor>
  <xdr:oneCellAnchor>
    <xdr:from>
      <xdr:col>11</xdr:col>
      <xdr:colOff>233136</xdr:colOff>
      <xdr:row>1</xdr:row>
      <xdr:rowOff>0</xdr:rowOff>
    </xdr:from>
    <xdr:ext cx="765313" cy="190500"/>
    <xdr:sp macro="" textlink="">
      <xdr:nvSpPr>
        <xdr:cNvPr id="994" name="Control 2" hidden="1">
          <a:extLst>
            <a:ext uri="{63B3BB69-23CF-44E3-9099-C40C66FF867C}">
              <a14:compatExt xmlns:a14="http://schemas.microsoft.com/office/drawing/2010/main" spid="_x0000_s1026"/>
            </a:ext>
          </a:extLst>
        </xdr:cNvPr>
        <xdr:cNvSpPr/>
      </xdr:nvSpPr>
      <xdr:spPr bwMode="auto">
        <a:xfrm>
          <a:off x="7853136" y="190500"/>
          <a:ext cx="765313" cy="190500"/>
        </a:xfrm>
        <a:prstGeom prst="rect">
          <a:avLst/>
        </a:prstGeom>
        <a:noFill/>
        <a:ln w="9525">
          <a:miter lim="800000"/>
          <a:headEnd/>
          <a:tailEnd/>
        </a:ln>
      </xdr:spPr>
    </xdr:sp>
    <xdr:clientData/>
  </xdr:oneCellAnchor>
  <xdr:oneCellAnchor>
    <xdr:from>
      <xdr:col>11</xdr:col>
      <xdr:colOff>347436</xdr:colOff>
      <xdr:row>1</xdr:row>
      <xdr:rowOff>0</xdr:rowOff>
    </xdr:from>
    <xdr:ext cx="765313" cy="190500"/>
    <xdr:sp macro="" textlink="">
      <xdr:nvSpPr>
        <xdr:cNvPr id="995" name="Control 3" hidden="1">
          <a:extLst>
            <a:ext uri="{63B3BB69-23CF-44E3-9099-C40C66FF867C}">
              <a14:compatExt xmlns:a14="http://schemas.microsoft.com/office/drawing/2010/main" spid="_x0000_s1027"/>
            </a:ext>
          </a:extLst>
        </xdr:cNvPr>
        <xdr:cNvSpPr/>
      </xdr:nvSpPr>
      <xdr:spPr bwMode="auto">
        <a:xfrm>
          <a:off x="7967436" y="190500"/>
          <a:ext cx="765313" cy="190500"/>
        </a:xfrm>
        <a:prstGeom prst="rect">
          <a:avLst/>
        </a:prstGeom>
        <a:noFill/>
        <a:ln w="9525">
          <a:miter lim="800000"/>
          <a:headEnd/>
          <a:tailEnd/>
        </a:ln>
      </xdr:spPr>
    </xdr:sp>
    <xdr:clientData/>
  </xdr:oneCellAnchor>
  <xdr:oneCellAnchor>
    <xdr:from>
      <xdr:col>11</xdr:col>
      <xdr:colOff>228600</xdr:colOff>
      <xdr:row>1</xdr:row>
      <xdr:rowOff>0</xdr:rowOff>
    </xdr:from>
    <xdr:ext cx="765313" cy="190500"/>
    <xdr:pic>
      <xdr:nvPicPr>
        <xdr:cNvPr id="99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190500"/>
          <a:ext cx="765313" cy="190500"/>
        </a:xfrm>
        <a:prstGeom prst="rect">
          <a:avLst/>
        </a:prstGeom>
        <a:noFill/>
        <a:ln w="9525">
          <a:miter lim="800000"/>
          <a:headEnd/>
          <a:tailEnd/>
        </a:ln>
      </xdr:spPr>
    </xdr:pic>
    <xdr:clientData/>
  </xdr:oneCellAnchor>
  <xdr:oneCellAnchor>
    <xdr:from>
      <xdr:col>11</xdr:col>
      <xdr:colOff>228600</xdr:colOff>
      <xdr:row>1</xdr:row>
      <xdr:rowOff>0</xdr:rowOff>
    </xdr:from>
    <xdr:ext cx="765313" cy="190500"/>
    <xdr:pic>
      <xdr:nvPicPr>
        <xdr:cNvPr id="99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190500"/>
          <a:ext cx="765313" cy="190500"/>
        </a:xfrm>
        <a:prstGeom prst="rect">
          <a:avLst/>
        </a:prstGeom>
        <a:noFill/>
        <a:ln w="9525">
          <a:miter lim="800000"/>
          <a:headEnd/>
          <a:tailEnd/>
        </a:ln>
      </xdr:spPr>
    </xdr:pic>
    <xdr:clientData/>
  </xdr:oneCellAnchor>
  <xdr:oneCellAnchor>
    <xdr:from>
      <xdr:col>11</xdr:col>
      <xdr:colOff>342900</xdr:colOff>
      <xdr:row>1</xdr:row>
      <xdr:rowOff>0</xdr:rowOff>
    </xdr:from>
    <xdr:ext cx="765313" cy="190500"/>
    <xdr:pic>
      <xdr:nvPicPr>
        <xdr:cNvPr id="99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190500"/>
          <a:ext cx="765313" cy="190500"/>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999" name="Control 1" hidden="1">
          <a:extLst>
            <a:ext uri="{63B3BB69-23CF-44E3-9099-C40C66FF867C}">
              <a14:compatExt xmlns:a14="http://schemas.microsoft.com/office/drawing/2010/main" spid="_x0000_s1025"/>
            </a:ext>
          </a:extLst>
        </xdr:cNvPr>
        <xdr:cNvSpPr/>
      </xdr:nvSpPr>
      <xdr:spPr bwMode="auto">
        <a:xfrm>
          <a:off x="7853136" y="19050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000" name="Control 2" hidden="1">
          <a:extLst>
            <a:ext uri="{63B3BB69-23CF-44E3-9099-C40C66FF867C}">
              <a14:compatExt xmlns:a14="http://schemas.microsoft.com/office/drawing/2010/main" spid="_x0000_s1026"/>
            </a:ext>
          </a:extLst>
        </xdr:cNvPr>
        <xdr:cNvSpPr/>
      </xdr:nvSpPr>
      <xdr:spPr bwMode="auto">
        <a:xfrm>
          <a:off x="7853136" y="19050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001" name="Control 3" hidden="1">
          <a:extLst>
            <a:ext uri="{63B3BB69-23CF-44E3-9099-C40C66FF867C}">
              <a14:compatExt xmlns:a14="http://schemas.microsoft.com/office/drawing/2010/main" spid="_x0000_s1027"/>
            </a:ext>
          </a:extLst>
        </xdr:cNvPr>
        <xdr:cNvSpPr/>
      </xdr:nvSpPr>
      <xdr:spPr bwMode="auto">
        <a:xfrm>
          <a:off x="7967436" y="19050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00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19050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00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19050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00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19050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005" name="Control 1" hidden="1">
          <a:extLst>
            <a:ext uri="{63B3BB69-23CF-44E3-9099-C40C66FF867C}">
              <a14:compatExt xmlns:a14="http://schemas.microsoft.com/office/drawing/2010/main" spid="_x0000_s1025"/>
            </a:ext>
          </a:extLst>
        </xdr:cNvPr>
        <xdr:cNvSpPr/>
      </xdr:nvSpPr>
      <xdr:spPr bwMode="auto">
        <a:xfrm>
          <a:off x="7853136" y="19050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006" name="Control 2" hidden="1">
          <a:extLst>
            <a:ext uri="{63B3BB69-23CF-44E3-9099-C40C66FF867C}">
              <a14:compatExt xmlns:a14="http://schemas.microsoft.com/office/drawing/2010/main" spid="_x0000_s1026"/>
            </a:ext>
          </a:extLst>
        </xdr:cNvPr>
        <xdr:cNvSpPr/>
      </xdr:nvSpPr>
      <xdr:spPr bwMode="auto">
        <a:xfrm>
          <a:off x="7853136" y="19050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007" name="Control 3" hidden="1">
          <a:extLst>
            <a:ext uri="{63B3BB69-23CF-44E3-9099-C40C66FF867C}">
              <a14:compatExt xmlns:a14="http://schemas.microsoft.com/office/drawing/2010/main" spid="_x0000_s1027"/>
            </a:ext>
          </a:extLst>
        </xdr:cNvPr>
        <xdr:cNvSpPr/>
      </xdr:nvSpPr>
      <xdr:spPr bwMode="auto">
        <a:xfrm>
          <a:off x="7967436" y="19050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00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19050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00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19050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01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19050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011"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012"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013"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01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01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01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17"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18"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19"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2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2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2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23"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24"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25"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2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2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2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029"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030"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031"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03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03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03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35"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36"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37"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3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3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4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41"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42"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43"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4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4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4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047"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048"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049"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05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05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05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53"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54"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55"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5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5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5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59"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60"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61"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6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6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6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065"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066"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067"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06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06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07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71"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72"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73"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7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7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7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77"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78"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79"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8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8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8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083"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084"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085"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08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08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08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89"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90"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91"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9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9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09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095"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096"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097"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09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09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0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101"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102"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103"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10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10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10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07"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08"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09"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1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1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1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13"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14"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15"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1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1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1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119"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120"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121"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12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12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12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25"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26"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27"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2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2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3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31"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32"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33"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3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3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3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137"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138"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139"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14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14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14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43"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44"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45"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4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4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4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49"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50"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51"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5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5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5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155"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156"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157"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15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15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16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61"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62"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63"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6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6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6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67"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68"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69"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7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7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7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173"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174"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175"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17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17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17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79"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80"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81"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8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8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8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85"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86"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87"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18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18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19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191"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192"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193"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19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19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19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197"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198"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199"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0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0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0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203"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204"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205"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0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0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0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209"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210"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211"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21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21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21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215"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216"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217"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1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1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2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221"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222"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223"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2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2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2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227"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228"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229"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23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23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23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233"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234"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235"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3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3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3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239"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240"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241"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4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4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4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245"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246"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247"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24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24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25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251"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252"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253"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5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5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5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257"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258"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259"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26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26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26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500"/>
    <xdr:sp macro="" textlink="">
      <xdr:nvSpPr>
        <xdr:cNvPr id="1263" name="Control 1" hidden="1">
          <a:extLst>
            <a:ext uri="{63B3BB69-23CF-44E3-9099-C40C66FF867C}">
              <a14:compatExt xmlns:a14="http://schemas.microsoft.com/office/drawing/2010/main" spid="_x0000_s1025"/>
            </a:ext>
          </a:extLst>
        </xdr:cNvPr>
        <xdr:cNvSpPr/>
      </xdr:nvSpPr>
      <xdr:spPr bwMode="auto">
        <a:xfrm>
          <a:off x="7853136" y="190500"/>
          <a:ext cx="765313" cy="190500"/>
        </a:xfrm>
        <a:prstGeom prst="rect">
          <a:avLst/>
        </a:prstGeom>
        <a:noFill/>
        <a:ln w="9525">
          <a:miter lim="800000"/>
          <a:headEnd/>
          <a:tailEnd/>
        </a:ln>
      </xdr:spPr>
    </xdr:sp>
    <xdr:clientData/>
  </xdr:oneCellAnchor>
  <xdr:oneCellAnchor>
    <xdr:from>
      <xdr:col>11</xdr:col>
      <xdr:colOff>233136</xdr:colOff>
      <xdr:row>1</xdr:row>
      <xdr:rowOff>0</xdr:rowOff>
    </xdr:from>
    <xdr:ext cx="765313" cy="190500"/>
    <xdr:sp macro="" textlink="">
      <xdr:nvSpPr>
        <xdr:cNvPr id="1264" name="Control 2" hidden="1">
          <a:extLst>
            <a:ext uri="{63B3BB69-23CF-44E3-9099-C40C66FF867C}">
              <a14:compatExt xmlns:a14="http://schemas.microsoft.com/office/drawing/2010/main" spid="_x0000_s1026"/>
            </a:ext>
          </a:extLst>
        </xdr:cNvPr>
        <xdr:cNvSpPr/>
      </xdr:nvSpPr>
      <xdr:spPr bwMode="auto">
        <a:xfrm>
          <a:off x="7853136" y="190500"/>
          <a:ext cx="765313" cy="190500"/>
        </a:xfrm>
        <a:prstGeom prst="rect">
          <a:avLst/>
        </a:prstGeom>
        <a:noFill/>
        <a:ln w="9525">
          <a:miter lim="800000"/>
          <a:headEnd/>
          <a:tailEnd/>
        </a:ln>
      </xdr:spPr>
    </xdr:sp>
    <xdr:clientData/>
  </xdr:oneCellAnchor>
  <xdr:oneCellAnchor>
    <xdr:from>
      <xdr:col>11</xdr:col>
      <xdr:colOff>347436</xdr:colOff>
      <xdr:row>1</xdr:row>
      <xdr:rowOff>0</xdr:rowOff>
    </xdr:from>
    <xdr:ext cx="765313" cy="190500"/>
    <xdr:sp macro="" textlink="">
      <xdr:nvSpPr>
        <xdr:cNvPr id="1265" name="Control 3" hidden="1">
          <a:extLst>
            <a:ext uri="{63B3BB69-23CF-44E3-9099-C40C66FF867C}">
              <a14:compatExt xmlns:a14="http://schemas.microsoft.com/office/drawing/2010/main" spid="_x0000_s1027"/>
            </a:ext>
          </a:extLst>
        </xdr:cNvPr>
        <xdr:cNvSpPr/>
      </xdr:nvSpPr>
      <xdr:spPr bwMode="auto">
        <a:xfrm>
          <a:off x="7967436" y="190500"/>
          <a:ext cx="765313" cy="190500"/>
        </a:xfrm>
        <a:prstGeom prst="rect">
          <a:avLst/>
        </a:prstGeom>
        <a:noFill/>
        <a:ln w="9525">
          <a:miter lim="800000"/>
          <a:headEnd/>
          <a:tailEnd/>
        </a:ln>
      </xdr:spPr>
    </xdr:sp>
    <xdr:clientData/>
  </xdr:oneCellAnchor>
  <xdr:oneCellAnchor>
    <xdr:from>
      <xdr:col>11</xdr:col>
      <xdr:colOff>228600</xdr:colOff>
      <xdr:row>1</xdr:row>
      <xdr:rowOff>0</xdr:rowOff>
    </xdr:from>
    <xdr:ext cx="765313" cy="190500"/>
    <xdr:pic>
      <xdr:nvPicPr>
        <xdr:cNvPr id="126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190500"/>
          <a:ext cx="765313" cy="190500"/>
        </a:xfrm>
        <a:prstGeom prst="rect">
          <a:avLst/>
        </a:prstGeom>
        <a:noFill/>
        <a:ln w="9525">
          <a:miter lim="800000"/>
          <a:headEnd/>
          <a:tailEnd/>
        </a:ln>
      </xdr:spPr>
    </xdr:pic>
    <xdr:clientData/>
  </xdr:oneCellAnchor>
  <xdr:oneCellAnchor>
    <xdr:from>
      <xdr:col>11</xdr:col>
      <xdr:colOff>228600</xdr:colOff>
      <xdr:row>1</xdr:row>
      <xdr:rowOff>0</xdr:rowOff>
    </xdr:from>
    <xdr:ext cx="765313" cy="190500"/>
    <xdr:pic>
      <xdr:nvPicPr>
        <xdr:cNvPr id="126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190500"/>
          <a:ext cx="765313" cy="190500"/>
        </a:xfrm>
        <a:prstGeom prst="rect">
          <a:avLst/>
        </a:prstGeom>
        <a:noFill/>
        <a:ln w="9525">
          <a:miter lim="800000"/>
          <a:headEnd/>
          <a:tailEnd/>
        </a:ln>
      </xdr:spPr>
    </xdr:pic>
    <xdr:clientData/>
  </xdr:oneCellAnchor>
  <xdr:oneCellAnchor>
    <xdr:from>
      <xdr:col>11</xdr:col>
      <xdr:colOff>342900</xdr:colOff>
      <xdr:row>1</xdr:row>
      <xdr:rowOff>0</xdr:rowOff>
    </xdr:from>
    <xdr:ext cx="765313" cy="190500"/>
    <xdr:pic>
      <xdr:nvPicPr>
        <xdr:cNvPr id="126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190500"/>
          <a:ext cx="765313" cy="190500"/>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269" name="Control 1" hidden="1">
          <a:extLst>
            <a:ext uri="{63B3BB69-23CF-44E3-9099-C40C66FF867C}">
              <a14:compatExt xmlns:a14="http://schemas.microsoft.com/office/drawing/2010/main" spid="_x0000_s1025"/>
            </a:ext>
          </a:extLst>
        </xdr:cNvPr>
        <xdr:cNvSpPr/>
      </xdr:nvSpPr>
      <xdr:spPr bwMode="auto">
        <a:xfrm>
          <a:off x="7853136" y="19050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270" name="Control 2" hidden="1">
          <a:extLst>
            <a:ext uri="{63B3BB69-23CF-44E3-9099-C40C66FF867C}">
              <a14:compatExt xmlns:a14="http://schemas.microsoft.com/office/drawing/2010/main" spid="_x0000_s1026"/>
            </a:ext>
          </a:extLst>
        </xdr:cNvPr>
        <xdr:cNvSpPr/>
      </xdr:nvSpPr>
      <xdr:spPr bwMode="auto">
        <a:xfrm>
          <a:off x="7853136" y="19050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271" name="Control 3" hidden="1">
          <a:extLst>
            <a:ext uri="{63B3BB69-23CF-44E3-9099-C40C66FF867C}">
              <a14:compatExt xmlns:a14="http://schemas.microsoft.com/office/drawing/2010/main" spid="_x0000_s1027"/>
            </a:ext>
          </a:extLst>
        </xdr:cNvPr>
        <xdr:cNvSpPr/>
      </xdr:nvSpPr>
      <xdr:spPr bwMode="auto">
        <a:xfrm>
          <a:off x="7967436" y="19050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27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19050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27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19050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27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19050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275" name="Control 1" hidden="1">
          <a:extLst>
            <a:ext uri="{63B3BB69-23CF-44E3-9099-C40C66FF867C}">
              <a14:compatExt xmlns:a14="http://schemas.microsoft.com/office/drawing/2010/main" spid="_x0000_s1025"/>
            </a:ext>
          </a:extLst>
        </xdr:cNvPr>
        <xdr:cNvSpPr/>
      </xdr:nvSpPr>
      <xdr:spPr bwMode="auto">
        <a:xfrm>
          <a:off x="7853136" y="19050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276" name="Control 2" hidden="1">
          <a:extLst>
            <a:ext uri="{63B3BB69-23CF-44E3-9099-C40C66FF867C}">
              <a14:compatExt xmlns:a14="http://schemas.microsoft.com/office/drawing/2010/main" spid="_x0000_s1026"/>
            </a:ext>
          </a:extLst>
        </xdr:cNvPr>
        <xdr:cNvSpPr/>
      </xdr:nvSpPr>
      <xdr:spPr bwMode="auto">
        <a:xfrm>
          <a:off x="7853136" y="19050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277" name="Control 3" hidden="1">
          <a:extLst>
            <a:ext uri="{63B3BB69-23CF-44E3-9099-C40C66FF867C}">
              <a14:compatExt xmlns:a14="http://schemas.microsoft.com/office/drawing/2010/main" spid="_x0000_s1027"/>
            </a:ext>
          </a:extLst>
        </xdr:cNvPr>
        <xdr:cNvSpPr/>
      </xdr:nvSpPr>
      <xdr:spPr bwMode="auto">
        <a:xfrm>
          <a:off x="7967436" y="19050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27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19050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27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19050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28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190500"/>
          <a:ext cx="765313" cy="193262"/>
        </a:xfrm>
        <a:prstGeom prst="rect">
          <a:avLst/>
        </a:prstGeom>
        <a:noFill/>
        <a:ln w="9525">
          <a:miter lim="800000"/>
          <a:headEnd/>
          <a:tailEnd/>
        </a:ln>
      </xdr:spPr>
    </xdr:pic>
    <xdr:clientData/>
  </xdr:oneCellAnchor>
  <xdr:oneCellAnchor>
    <xdr:from>
      <xdr:col>11</xdr:col>
      <xdr:colOff>233136</xdr:colOff>
      <xdr:row>2</xdr:row>
      <xdr:rowOff>0</xdr:rowOff>
    </xdr:from>
    <xdr:ext cx="765313" cy="190500"/>
    <xdr:sp macro="" textlink="">
      <xdr:nvSpPr>
        <xdr:cNvPr id="1281" name="Control 1" hidden="1">
          <a:extLst>
            <a:ext uri="{63B3BB69-23CF-44E3-9099-C40C66FF867C}">
              <a14:compatExt xmlns:a14="http://schemas.microsoft.com/office/drawing/2010/main" spid="_x0000_s1025"/>
            </a:ext>
          </a:extLst>
        </xdr:cNvPr>
        <xdr:cNvSpPr/>
      </xdr:nvSpPr>
      <xdr:spPr bwMode="auto">
        <a:xfrm>
          <a:off x="7853136" y="381000"/>
          <a:ext cx="765313" cy="190500"/>
        </a:xfrm>
        <a:prstGeom prst="rect">
          <a:avLst/>
        </a:prstGeom>
        <a:noFill/>
        <a:ln w="9525">
          <a:miter lim="800000"/>
          <a:headEnd/>
          <a:tailEnd/>
        </a:ln>
      </xdr:spPr>
    </xdr:sp>
    <xdr:clientData/>
  </xdr:oneCellAnchor>
  <xdr:oneCellAnchor>
    <xdr:from>
      <xdr:col>11</xdr:col>
      <xdr:colOff>233136</xdr:colOff>
      <xdr:row>2</xdr:row>
      <xdr:rowOff>0</xdr:rowOff>
    </xdr:from>
    <xdr:ext cx="765313" cy="190500"/>
    <xdr:sp macro="" textlink="">
      <xdr:nvSpPr>
        <xdr:cNvPr id="1282" name="Control 2" hidden="1">
          <a:extLst>
            <a:ext uri="{63B3BB69-23CF-44E3-9099-C40C66FF867C}">
              <a14:compatExt xmlns:a14="http://schemas.microsoft.com/office/drawing/2010/main" spid="_x0000_s1026"/>
            </a:ext>
          </a:extLst>
        </xdr:cNvPr>
        <xdr:cNvSpPr/>
      </xdr:nvSpPr>
      <xdr:spPr bwMode="auto">
        <a:xfrm>
          <a:off x="7853136" y="381000"/>
          <a:ext cx="765313" cy="190500"/>
        </a:xfrm>
        <a:prstGeom prst="rect">
          <a:avLst/>
        </a:prstGeom>
        <a:noFill/>
        <a:ln w="9525">
          <a:miter lim="800000"/>
          <a:headEnd/>
          <a:tailEnd/>
        </a:ln>
      </xdr:spPr>
    </xdr:sp>
    <xdr:clientData/>
  </xdr:oneCellAnchor>
  <xdr:oneCellAnchor>
    <xdr:from>
      <xdr:col>11</xdr:col>
      <xdr:colOff>347436</xdr:colOff>
      <xdr:row>2</xdr:row>
      <xdr:rowOff>0</xdr:rowOff>
    </xdr:from>
    <xdr:ext cx="765313" cy="190500"/>
    <xdr:sp macro="" textlink="">
      <xdr:nvSpPr>
        <xdr:cNvPr id="1283" name="Control 3" hidden="1">
          <a:extLst>
            <a:ext uri="{63B3BB69-23CF-44E3-9099-C40C66FF867C}">
              <a14:compatExt xmlns:a14="http://schemas.microsoft.com/office/drawing/2010/main" spid="_x0000_s1027"/>
            </a:ext>
          </a:extLst>
        </xdr:cNvPr>
        <xdr:cNvSpPr/>
      </xdr:nvSpPr>
      <xdr:spPr bwMode="auto">
        <a:xfrm>
          <a:off x="7967436" y="381000"/>
          <a:ext cx="765313" cy="190500"/>
        </a:xfrm>
        <a:prstGeom prst="rect">
          <a:avLst/>
        </a:prstGeom>
        <a:noFill/>
        <a:ln w="9525">
          <a:miter lim="800000"/>
          <a:headEnd/>
          <a:tailEnd/>
        </a:ln>
      </xdr:spPr>
    </xdr:sp>
    <xdr:clientData/>
  </xdr:oneCellAnchor>
  <xdr:oneCellAnchor>
    <xdr:from>
      <xdr:col>11</xdr:col>
      <xdr:colOff>228600</xdr:colOff>
      <xdr:row>2</xdr:row>
      <xdr:rowOff>0</xdr:rowOff>
    </xdr:from>
    <xdr:ext cx="765313" cy="190500"/>
    <xdr:pic>
      <xdr:nvPicPr>
        <xdr:cNvPr id="128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381000"/>
          <a:ext cx="765313" cy="190500"/>
        </a:xfrm>
        <a:prstGeom prst="rect">
          <a:avLst/>
        </a:prstGeom>
        <a:noFill/>
        <a:ln w="9525">
          <a:miter lim="800000"/>
          <a:headEnd/>
          <a:tailEnd/>
        </a:ln>
      </xdr:spPr>
    </xdr:pic>
    <xdr:clientData/>
  </xdr:oneCellAnchor>
  <xdr:oneCellAnchor>
    <xdr:from>
      <xdr:col>11</xdr:col>
      <xdr:colOff>228600</xdr:colOff>
      <xdr:row>2</xdr:row>
      <xdr:rowOff>0</xdr:rowOff>
    </xdr:from>
    <xdr:ext cx="765313" cy="190500"/>
    <xdr:pic>
      <xdr:nvPicPr>
        <xdr:cNvPr id="128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381000"/>
          <a:ext cx="765313" cy="190500"/>
        </a:xfrm>
        <a:prstGeom prst="rect">
          <a:avLst/>
        </a:prstGeom>
        <a:noFill/>
        <a:ln w="9525">
          <a:miter lim="800000"/>
          <a:headEnd/>
          <a:tailEnd/>
        </a:ln>
      </xdr:spPr>
    </xdr:pic>
    <xdr:clientData/>
  </xdr:oneCellAnchor>
  <xdr:oneCellAnchor>
    <xdr:from>
      <xdr:col>11</xdr:col>
      <xdr:colOff>342900</xdr:colOff>
      <xdr:row>2</xdr:row>
      <xdr:rowOff>0</xdr:rowOff>
    </xdr:from>
    <xdr:ext cx="765313" cy="190500"/>
    <xdr:pic>
      <xdr:nvPicPr>
        <xdr:cNvPr id="128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381000"/>
          <a:ext cx="765313" cy="190500"/>
        </a:xfrm>
        <a:prstGeom prst="rect">
          <a:avLst/>
        </a:prstGeom>
        <a:noFill/>
        <a:ln w="9525">
          <a:miter lim="800000"/>
          <a:headEnd/>
          <a:tailEnd/>
        </a:ln>
      </xdr:spPr>
    </xdr:pic>
    <xdr:clientData/>
  </xdr:oneCellAnchor>
  <xdr:oneCellAnchor>
    <xdr:from>
      <xdr:col>11</xdr:col>
      <xdr:colOff>233136</xdr:colOff>
      <xdr:row>2</xdr:row>
      <xdr:rowOff>0</xdr:rowOff>
    </xdr:from>
    <xdr:ext cx="765313" cy="190994"/>
    <xdr:sp macro="" textlink="">
      <xdr:nvSpPr>
        <xdr:cNvPr id="1287" name="Control 1" hidden="1">
          <a:extLst>
            <a:ext uri="{63B3BB69-23CF-44E3-9099-C40C66FF867C}">
              <a14:compatExt xmlns:a14="http://schemas.microsoft.com/office/drawing/2010/main" spid="_x0000_s1025"/>
            </a:ext>
          </a:extLst>
        </xdr:cNvPr>
        <xdr:cNvSpPr/>
      </xdr:nvSpPr>
      <xdr:spPr bwMode="auto">
        <a:xfrm>
          <a:off x="7853136" y="381000"/>
          <a:ext cx="765313" cy="190994"/>
        </a:xfrm>
        <a:prstGeom prst="rect">
          <a:avLst/>
        </a:prstGeom>
        <a:noFill/>
        <a:ln w="9525">
          <a:miter lim="800000"/>
          <a:headEnd/>
          <a:tailEnd/>
        </a:ln>
      </xdr:spPr>
    </xdr:sp>
    <xdr:clientData/>
  </xdr:oneCellAnchor>
  <xdr:oneCellAnchor>
    <xdr:from>
      <xdr:col>11</xdr:col>
      <xdr:colOff>233136</xdr:colOff>
      <xdr:row>2</xdr:row>
      <xdr:rowOff>0</xdr:rowOff>
    </xdr:from>
    <xdr:ext cx="765313" cy="190994"/>
    <xdr:sp macro="" textlink="">
      <xdr:nvSpPr>
        <xdr:cNvPr id="1288" name="Control 2" hidden="1">
          <a:extLst>
            <a:ext uri="{63B3BB69-23CF-44E3-9099-C40C66FF867C}">
              <a14:compatExt xmlns:a14="http://schemas.microsoft.com/office/drawing/2010/main" spid="_x0000_s1026"/>
            </a:ext>
          </a:extLst>
        </xdr:cNvPr>
        <xdr:cNvSpPr/>
      </xdr:nvSpPr>
      <xdr:spPr bwMode="auto">
        <a:xfrm>
          <a:off x="7853136" y="381000"/>
          <a:ext cx="765313" cy="190994"/>
        </a:xfrm>
        <a:prstGeom prst="rect">
          <a:avLst/>
        </a:prstGeom>
        <a:noFill/>
        <a:ln w="9525">
          <a:miter lim="800000"/>
          <a:headEnd/>
          <a:tailEnd/>
        </a:ln>
      </xdr:spPr>
    </xdr:sp>
    <xdr:clientData/>
  </xdr:oneCellAnchor>
  <xdr:oneCellAnchor>
    <xdr:from>
      <xdr:col>11</xdr:col>
      <xdr:colOff>347436</xdr:colOff>
      <xdr:row>2</xdr:row>
      <xdr:rowOff>0</xdr:rowOff>
    </xdr:from>
    <xdr:ext cx="765313" cy="190994"/>
    <xdr:sp macro="" textlink="">
      <xdr:nvSpPr>
        <xdr:cNvPr id="1289" name="Control 3" hidden="1">
          <a:extLst>
            <a:ext uri="{63B3BB69-23CF-44E3-9099-C40C66FF867C}">
              <a14:compatExt xmlns:a14="http://schemas.microsoft.com/office/drawing/2010/main" spid="_x0000_s1027"/>
            </a:ext>
          </a:extLst>
        </xdr:cNvPr>
        <xdr:cNvSpPr/>
      </xdr:nvSpPr>
      <xdr:spPr bwMode="auto">
        <a:xfrm>
          <a:off x="7967436" y="381000"/>
          <a:ext cx="765313" cy="190994"/>
        </a:xfrm>
        <a:prstGeom prst="rect">
          <a:avLst/>
        </a:prstGeom>
        <a:noFill/>
        <a:ln w="9525">
          <a:miter lim="800000"/>
          <a:headEnd/>
          <a:tailEnd/>
        </a:ln>
      </xdr:spPr>
    </xdr:sp>
    <xdr:clientData/>
  </xdr:oneCellAnchor>
  <xdr:oneCellAnchor>
    <xdr:from>
      <xdr:col>11</xdr:col>
      <xdr:colOff>228600</xdr:colOff>
      <xdr:row>2</xdr:row>
      <xdr:rowOff>0</xdr:rowOff>
    </xdr:from>
    <xdr:ext cx="765313" cy="193262"/>
    <xdr:pic>
      <xdr:nvPicPr>
        <xdr:cNvPr id="129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381000"/>
          <a:ext cx="765313" cy="193262"/>
        </a:xfrm>
        <a:prstGeom prst="rect">
          <a:avLst/>
        </a:prstGeom>
        <a:noFill/>
        <a:ln w="9525">
          <a:miter lim="800000"/>
          <a:headEnd/>
          <a:tailEnd/>
        </a:ln>
      </xdr:spPr>
    </xdr:pic>
    <xdr:clientData/>
  </xdr:oneCellAnchor>
  <xdr:oneCellAnchor>
    <xdr:from>
      <xdr:col>11</xdr:col>
      <xdr:colOff>228600</xdr:colOff>
      <xdr:row>2</xdr:row>
      <xdr:rowOff>0</xdr:rowOff>
    </xdr:from>
    <xdr:ext cx="765313" cy="193262"/>
    <xdr:pic>
      <xdr:nvPicPr>
        <xdr:cNvPr id="129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381000"/>
          <a:ext cx="765313" cy="193262"/>
        </a:xfrm>
        <a:prstGeom prst="rect">
          <a:avLst/>
        </a:prstGeom>
        <a:noFill/>
        <a:ln w="9525">
          <a:miter lim="800000"/>
          <a:headEnd/>
          <a:tailEnd/>
        </a:ln>
      </xdr:spPr>
    </xdr:pic>
    <xdr:clientData/>
  </xdr:oneCellAnchor>
  <xdr:oneCellAnchor>
    <xdr:from>
      <xdr:col>11</xdr:col>
      <xdr:colOff>342900</xdr:colOff>
      <xdr:row>2</xdr:row>
      <xdr:rowOff>0</xdr:rowOff>
    </xdr:from>
    <xdr:ext cx="765313" cy="193262"/>
    <xdr:pic>
      <xdr:nvPicPr>
        <xdr:cNvPr id="129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381000"/>
          <a:ext cx="765313" cy="193262"/>
        </a:xfrm>
        <a:prstGeom prst="rect">
          <a:avLst/>
        </a:prstGeom>
        <a:noFill/>
        <a:ln w="9525">
          <a:miter lim="800000"/>
          <a:headEnd/>
          <a:tailEnd/>
        </a:ln>
      </xdr:spPr>
    </xdr:pic>
    <xdr:clientData/>
  </xdr:oneCellAnchor>
  <xdr:oneCellAnchor>
    <xdr:from>
      <xdr:col>11</xdr:col>
      <xdr:colOff>233136</xdr:colOff>
      <xdr:row>2</xdr:row>
      <xdr:rowOff>0</xdr:rowOff>
    </xdr:from>
    <xdr:ext cx="765313" cy="190994"/>
    <xdr:sp macro="" textlink="">
      <xdr:nvSpPr>
        <xdr:cNvPr id="1293" name="Control 1" hidden="1">
          <a:extLst>
            <a:ext uri="{63B3BB69-23CF-44E3-9099-C40C66FF867C}">
              <a14:compatExt xmlns:a14="http://schemas.microsoft.com/office/drawing/2010/main" spid="_x0000_s1025"/>
            </a:ext>
          </a:extLst>
        </xdr:cNvPr>
        <xdr:cNvSpPr/>
      </xdr:nvSpPr>
      <xdr:spPr bwMode="auto">
        <a:xfrm>
          <a:off x="7853136" y="381000"/>
          <a:ext cx="765313" cy="190994"/>
        </a:xfrm>
        <a:prstGeom prst="rect">
          <a:avLst/>
        </a:prstGeom>
        <a:noFill/>
        <a:ln w="9525">
          <a:miter lim="800000"/>
          <a:headEnd/>
          <a:tailEnd/>
        </a:ln>
      </xdr:spPr>
    </xdr:sp>
    <xdr:clientData/>
  </xdr:oneCellAnchor>
  <xdr:oneCellAnchor>
    <xdr:from>
      <xdr:col>11</xdr:col>
      <xdr:colOff>233136</xdr:colOff>
      <xdr:row>2</xdr:row>
      <xdr:rowOff>0</xdr:rowOff>
    </xdr:from>
    <xdr:ext cx="765313" cy="190994"/>
    <xdr:sp macro="" textlink="">
      <xdr:nvSpPr>
        <xdr:cNvPr id="1294" name="Control 2" hidden="1">
          <a:extLst>
            <a:ext uri="{63B3BB69-23CF-44E3-9099-C40C66FF867C}">
              <a14:compatExt xmlns:a14="http://schemas.microsoft.com/office/drawing/2010/main" spid="_x0000_s1026"/>
            </a:ext>
          </a:extLst>
        </xdr:cNvPr>
        <xdr:cNvSpPr/>
      </xdr:nvSpPr>
      <xdr:spPr bwMode="auto">
        <a:xfrm>
          <a:off x="7853136" y="381000"/>
          <a:ext cx="765313" cy="190994"/>
        </a:xfrm>
        <a:prstGeom prst="rect">
          <a:avLst/>
        </a:prstGeom>
        <a:noFill/>
        <a:ln w="9525">
          <a:miter lim="800000"/>
          <a:headEnd/>
          <a:tailEnd/>
        </a:ln>
      </xdr:spPr>
    </xdr:sp>
    <xdr:clientData/>
  </xdr:oneCellAnchor>
  <xdr:oneCellAnchor>
    <xdr:from>
      <xdr:col>11</xdr:col>
      <xdr:colOff>347436</xdr:colOff>
      <xdr:row>2</xdr:row>
      <xdr:rowOff>0</xdr:rowOff>
    </xdr:from>
    <xdr:ext cx="765313" cy="190994"/>
    <xdr:sp macro="" textlink="">
      <xdr:nvSpPr>
        <xdr:cNvPr id="1295" name="Control 3" hidden="1">
          <a:extLst>
            <a:ext uri="{63B3BB69-23CF-44E3-9099-C40C66FF867C}">
              <a14:compatExt xmlns:a14="http://schemas.microsoft.com/office/drawing/2010/main" spid="_x0000_s1027"/>
            </a:ext>
          </a:extLst>
        </xdr:cNvPr>
        <xdr:cNvSpPr/>
      </xdr:nvSpPr>
      <xdr:spPr bwMode="auto">
        <a:xfrm>
          <a:off x="7967436" y="381000"/>
          <a:ext cx="765313" cy="190994"/>
        </a:xfrm>
        <a:prstGeom prst="rect">
          <a:avLst/>
        </a:prstGeom>
        <a:noFill/>
        <a:ln w="9525">
          <a:miter lim="800000"/>
          <a:headEnd/>
          <a:tailEnd/>
        </a:ln>
      </xdr:spPr>
    </xdr:sp>
    <xdr:clientData/>
  </xdr:oneCellAnchor>
  <xdr:oneCellAnchor>
    <xdr:from>
      <xdr:col>11</xdr:col>
      <xdr:colOff>228600</xdr:colOff>
      <xdr:row>2</xdr:row>
      <xdr:rowOff>0</xdr:rowOff>
    </xdr:from>
    <xdr:ext cx="765313" cy="193262"/>
    <xdr:pic>
      <xdr:nvPicPr>
        <xdr:cNvPr id="129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381000"/>
          <a:ext cx="765313" cy="193262"/>
        </a:xfrm>
        <a:prstGeom prst="rect">
          <a:avLst/>
        </a:prstGeom>
        <a:noFill/>
        <a:ln w="9525">
          <a:miter lim="800000"/>
          <a:headEnd/>
          <a:tailEnd/>
        </a:ln>
      </xdr:spPr>
    </xdr:pic>
    <xdr:clientData/>
  </xdr:oneCellAnchor>
  <xdr:oneCellAnchor>
    <xdr:from>
      <xdr:col>11</xdr:col>
      <xdr:colOff>228600</xdr:colOff>
      <xdr:row>2</xdr:row>
      <xdr:rowOff>0</xdr:rowOff>
    </xdr:from>
    <xdr:ext cx="765313" cy="193262"/>
    <xdr:pic>
      <xdr:nvPicPr>
        <xdr:cNvPr id="129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381000"/>
          <a:ext cx="765313" cy="193262"/>
        </a:xfrm>
        <a:prstGeom prst="rect">
          <a:avLst/>
        </a:prstGeom>
        <a:noFill/>
        <a:ln w="9525">
          <a:miter lim="800000"/>
          <a:headEnd/>
          <a:tailEnd/>
        </a:ln>
      </xdr:spPr>
    </xdr:pic>
    <xdr:clientData/>
  </xdr:oneCellAnchor>
  <xdr:oneCellAnchor>
    <xdr:from>
      <xdr:col>11</xdr:col>
      <xdr:colOff>342900</xdr:colOff>
      <xdr:row>2</xdr:row>
      <xdr:rowOff>0</xdr:rowOff>
    </xdr:from>
    <xdr:ext cx="765313" cy="193262"/>
    <xdr:pic>
      <xdr:nvPicPr>
        <xdr:cNvPr id="129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38100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299"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300"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301"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30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30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30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05"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06"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07"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0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0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1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11"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12"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13"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1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1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1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317"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318"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319"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32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32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32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23"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24"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25"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2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2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2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29"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30"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31"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3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3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3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335"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336"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337"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33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33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34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41"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42"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43"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4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4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4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47"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48"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49"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5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5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5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353"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354"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355"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35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35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35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59"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60"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61"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6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6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6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65"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66"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67"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6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6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7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371"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372"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373"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37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37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37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77"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78"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79"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8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8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8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383"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384"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385"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38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38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38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500"/>
    <xdr:sp macro="" textlink="">
      <xdr:nvSpPr>
        <xdr:cNvPr id="1389" name="Control 1" hidden="1">
          <a:extLst>
            <a:ext uri="{63B3BB69-23CF-44E3-9099-C40C66FF867C}">
              <a14:compatExt xmlns:a14="http://schemas.microsoft.com/office/drawing/2010/main" spid="_x0000_s1025"/>
            </a:ext>
          </a:extLst>
        </xdr:cNvPr>
        <xdr:cNvSpPr/>
      </xdr:nvSpPr>
      <xdr:spPr bwMode="auto">
        <a:xfrm>
          <a:off x="7853136" y="190500"/>
          <a:ext cx="765313" cy="190500"/>
        </a:xfrm>
        <a:prstGeom prst="rect">
          <a:avLst/>
        </a:prstGeom>
        <a:noFill/>
        <a:ln w="9525">
          <a:miter lim="800000"/>
          <a:headEnd/>
          <a:tailEnd/>
        </a:ln>
      </xdr:spPr>
    </xdr:sp>
    <xdr:clientData/>
  </xdr:oneCellAnchor>
  <xdr:oneCellAnchor>
    <xdr:from>
      <xdr:col>11</xdr:col>
      <xdr:colOff>233136</xdr:colOff>
      <xdr:row>1</xdr:row>
      <xdr:rowOff>0</xdr:rowOff>
    </xdr:from>
    <xdr:ext cx="765313" cy="190500"/>
    <xdr:sp macro="" textlink="">
      <xdr:nvSpPr>
        <xdr:cNvPr id="1390" name="Control 2" hidden="1">
          <a:extLst>
            <a:ext uri="{63B3BB69-23CF-44E3-9099-C40C66FF867C}">
              <a14:compatExt xmlns:a14="http://schemas.microsoft.com/office/drawing/2010/main" spid="_x0000_s1026"/>
            </a:ext>
          </a:extLst>
        </xdr:cNvPr>
        <xdr:cNvSpPr/>
      </xdr:nvSpPr>
      <xdr:spPr bwMode="auto">
        <a:xfrm>
          <a:off x="7853136" y="190500"/>
          <a:ext cx="765313" cy="190500"/>
        </a:xfrm>
        <a:prstGeom prst="rect">
          <a:avLst/>
        </a:prstGeom>
        <a:noFill/>
        <a:ln w="9525">
          <a:miter lim="800000"/>
          <a:headEnd/>
          <a:tailEnd/>
        </a:ln>
      </xdr:spPr>
    </xdr:sp>
    <xdr:clientData/>
  </xdr:oneCellAnchor>
  <xdr:oneCellAnchor>
    <xdr:from>
      <xdr:col>11</xdr:col>
      <xdr:colOff>347436</xdr:colOff>
      <xdr:row>1</xdr:row>
      <xdr:rowOff>0</xdr:rowOff>
    </xdr:from>
    <xdr:ext cx="765313" cy="190500"/>
    <xdr:sp macro="" textlink="">
      <xdr:nvSpPr>
        <xdr:cNvPr id="1391" name="Control 3" hidden="1">
          <a:extLst>
            <a:ext uri="{63B3BB69-23CF-44E3-9099-C40C66FF867C}">
              <a14:compatExt xmlns:a14="http://schemas.microsoft.com/office/drawing/2010/main" spid="_x0000_s1027"/>
            </a:ext>
          </a:extLst>
        </xdr:cNvPr>
        <xdr:cNvSpPr/>
      </xdr:nvSpPr>
      <xdr:spPr bwMode="auto">
        <a:xfrm>
          <a:off x="7967436" y="190500"/>
          <a:ext cx="765313" cy="190500"/>
        </a:xfrm>
        <a:prstGeom prst="rect">
          <a:avLst/>
        </a:prstGeom>
        <a:noFill/>
        <a:ln w="9525">
          <a:miter lim="800000"/>
          <a:headEnd/>
          <a:tailEnd/>
        </a:ln>
      </xdr:spPr>
    </xdr:sp>
    <xdr:clientData/>
  </xdr:oneCellAnchor>
  <xdr:oneCellAnchor>
    <xdr:from>
      <xdr:col>11</xdr:col>
      <xdr:colOff>228600</xdr:colOff>
      <xdr:row>1</xdr:row>
      <xdr:rowOff>0</xdr:rowOff>
    </xdr:from>
    <xdr:ext cx="765313" cy="190500"/>
    <xdr:pic>
      <xdr:nvPicPr>
        <xdr:cNvPr id="139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190500"/>
          <a:ext cx="765313" cy="190500"/>
        </a:xfrm>
        <a:prstGeom prst="rect">
          <a:avLst/>
        </a:prstGeom>
        <a:noFill/>
        <a:ln w="9525">
          <a:miter lim="800000"/>
          <a:headEnd/>
          <a:tailEnd/>
        </a:ln>
      </xdr:spPr>
    </xdr:pic>
    <xdr:clientData/>
  </xdr:oneCellAnchor>
  <xdr:oneCellAnchor>
    <xdr:from>
      <xdr:col>11</xdr:col>
      <xdr:colOff>228600</xdr:colOff>
      <xdr:row>1</xdr:row>
      <xdr:rowOff>0</xdr:rowOff>
    </xdr:from>
    <xdr:ext cx="765313" cy="190500"/>
    <xdr:pic>
      <xdr:nvPicPr>
        <xdr:cNvPr id="139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190500"/>
          <a:ext cx="765313" cy="190500"/>
        </a:xfrm>
        <a:prstGeom prst="rect">
          <a:avLst/>
        </a:prstGeom>
        <a:noFill/>
        <a:ln w="9525">
          <a:miter lim="800000"/>
          <a:headEnd/>
          <a:tailEnd/>
        </a:ln>
      </xdr:spPr>
    </xdr:pic>
    <xdr:clientData/>
  </xdr:oneCellAnchor>
  <xdr:oneCellAnchor>
    <xdr:from>
      <xdr:col>11</xdr:col>
      <xdr:colOff>342900</xdr:colOff>
      <xdr:row>1</xdr:row>
      <xdr:rowOff>0</xdr:rowOff>
    </xdr:from>
    <xdr:ext cx="765313" cy="190500"/>
    <xdr:pic>
      <xdr:nvPicPr>
        <xdr:cNvPr id="139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190500"/>
          <a:ext cx="765313" cy="190500"/>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395" name="Control 1" hidden="1">
          <a:extLst>
            <a:ext uri="{63B3BB69-23CF-44E3-9099-C40C66FF867C}">
              <a14:compatExt xmlns:a14="http://schemas.microsoft.com/office/drawing/2010/main" spid="_x0000_s1025"/>
            </a:ext>
          </a:extLst>
        </xdr:cNvPr>
        <xdr:cNvSpPr/>
      </xdr:nvSpPr>
      <xdr:spPr bwMode="auto">
        <a:xfrm>
          <a:off x="7853136" y="19050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396" name="Control 2" hidden="1">
          <a:extLst>
            <a:ext uri="{63B3BB69-23CF-44E3-9099-C40C66FF867C}">
              <a14:compatExt xmlns:a14="http://schemas.microsoft.com/office/drawing/2010/main" spid="_x0000_s1026"/>
            </a:ext>
          </a:extLst>
        </xdr:cNvPr>
        <xdr:cNvSpPr/>
      </xdr:nvSpPr>
      <xdr:spPr bwMode="auto">
        <a:xfrm>
          <a:off x="7853136" y="19050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397" name="Control 3" hidden="1">
          <a:extLst>
            <a:ext uri="{63B3BB69-23CF-44E3-9099-C40C66FF867C}">
              <a14:compatExt xmlns:a14="http://schemas.microsoft.com/office/drawing/2010/main" spid="_x0000_s1027"/>
            </a:ext>
          </a:extLst>
        </xdr:cNvPr>
        <xdr:cNvSpPr/>
      </xdr:nvSpPr>
      <xdr:spPr bwMode="auto">
        <a:xfrm>
          <a:off x="7967436" y="19050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39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19050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39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19050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40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19050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401" name="Control 1" hidden="1">
          <a:extLst>
            <a:ext uri="{63B3BB69-23CF-44E3-9099-C40C66FF867C}">
              <a14:compatExt xmlns:a14="http://schemas.microsoft.com/office/drawing/2010/main" spid="_x0000_s1025"/>
            </a:ext>
          </a:extLst>
        </xdr:cNvPr>
        <xdr:cNvSpPr/>
      </xdr:nvSpPr>
      <xdr:spPr bwMode="auto">
        <a:xfrm>
          <a:off x="7853136" y="19050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402" name="Control 2" hidden="1">
          <a:extLst>
            <a:ext uri="{63B3BB69-23CF-44E3-9099-C40C66FF867C}">
              <a14:compatExt xmlns:a14="http://schemas.microsoft.com/office/drawing/2010/main" spid="_x0000_s1026"/>
            </a:ext>
          </a:extLst>
        </xdr:cNvPr>
        <xdr:cNvSpPr/>
      </xdr:nvSpPr>
      <xdr:spPr bwMode="auto">
        <a:xfrm>
          <a:off x="7853136" y="19050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403" name="Control 3" hidden="1">
          <a:extLst>
            <a:ext uri="{63B3BB69-23CF-44E3-9099-C40C66FF867C}">
              <a14:compatExt xmlns:a14="http://schemas.microsoft.com/office/drawing/2010/main" spid="_x0000_s1027"/>
            </a:ext>
          </a:extLst>
        </xdr:cNvPr>
        <xdr:cNvSpPr/>
      </xdr:nvSpPr>
      <xdr:spPr bwMode="auto">
        <a:xfrm>
          <a:off x="7967436" y="19050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40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19050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40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19050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40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19050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407"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408"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409"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41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41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41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13"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14"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15"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1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1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1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19"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20"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21"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2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2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2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500"/>
    <xdr:sp macro="" textlink="">
      <xdr:nvSpPr>
        <xdr:cNvPr id="1425" name="Control 1" hidden="1">
          <a:extLst>
            <a:ext uri="{63B3BB69-23CF-44E3-9099-C40C66FF867C}">
              <a14:compatExt xmlns:a14="http://schemas.microsoft.com/office/drawing/2010/main" spid="_x0000_s1025"/>
            </a:ext>
          </a:extLst>
        </xdr:cNvPr>
        <xdr:cNvSpPr/>
      </xdr:nvSpPr>
      <xdr:spPr bwMode="auto">
        <a:xfrm>
          <a:off x="7853136" y="190500"/>
          <a:ext cx="765313" cy="190500"/>
        </a:xfrm>
        <a:prstGeom prst="rect">
          <a:avLst/>
        </a:prstGeom>
        <a:noFill/>
        <a:ln w="9525">
          <a:miter lim="800000"/>
          <a:headEnd/>
          <a:tailEnd/>
        </a:ln>
      </xdr:spPr>
    </xdr:sp>
    <xdr:clientData/>
  </xdr:oneCellAnchor>
  <xdr:oneCellAnchor>
    <xdr:from>
      <xdr:col>11</xdr:col>
      <xdr:colOff>233136</xdr:colOff>
      <xdr:row>1</xdr:row>
      <xdr:rowOff>0</xdr:rowOff>
    </xdr:from>
    <xdr:ext cx="765313" cy="190500"/>
    <xdr:sp macro="" textlink="">
      <xdr:nvSpPr>
        <xdr:cNvPr id="1426" name="Control 2" hidden="1">
          <a:extLst>
            <a:ext uri="{63B3BB69-23CF-44E3-9099-C40C66FF867C}">
              <a14:compatExt xmlns:a14="http://schemas.microsoft.com/office/drawing/2010/main" spid="_x0000_s1026"/>
            </a:ext>
          </a:extLst>
        </xdr:cNvPr>
        <xdr:cNvSpPr/>
      </xdr:nvSpPr>
      <xdr:spPr bwMode="auto">
        <a:xfrm>
          <a:off x="7853136" y="190500"/>
          <a:ext cx="765313" cy="190500"/>
        </a:xfrm>
        <a:prstGeom prst="rect">
          <a:avLst/>
        </a:prstGeom>
        <a:noFill/>
        <a:ln w="9525">
          <a:miter lim="800000"/>
          <a:headEnd/>
          <a:tailEnd/>
        </a:ln>
      </xdr:spPr>
    </xdr:sp>
    <xdr:clientData/>
  </xdr:oneCellAnchor>
  <xdr:oneCellAnchor>
    <xdr:from>
      <xdr:col>11</xdr:col>
      <xdr:colOff>347436</xdr:colOff>
      <xdr:row>1</xdr:row>
      <xdr:rowOff>0</xdr:rowOff>
    </xdr:from>
    <xdr:ext cx="765313" cy="190500"/>
    <xdr:sp macro="" textlink="">
      <xdr:nvSpPr>
        <xdr:cNvPr id="1427" name="Control 3" hidden="1">
          <a:extLst>
            <a:ext uri="{63B3BB69-23CF-44E3-9099-C40C66FF867C}">
              <a14:compatExt xmlns:a14="http://schemas.microsoft.com/office/drawing/2010/main" spid="_x0000_s1027"/>
            </a:ext>
          </a:extLst>
        </xdr:cNvPr>
        <xdr:cNvSpPr/>
      </xdr:nvSpPr>
      <xdr:spPr bwMode="auto">
        <a:xfrm>
          <a:off x="7967436" y="190500"/>
          <a:ext cx="765313" cy="190500"/>
        </a:xfrm>
        <a:prstGeom prst="rect">
          <a:avLst/>
        </a:prstGeom>
        <a:noFill/>
        <a:ln w="9525">
          <a:miter lim="800000"/>
          <a:headEnd/>
          <a:tailEnd/>
        </a:ln>
      </xdr:spPr>
    </xdr:sp>
    <xdr:clientData/>
  </xdr:oneCellAnchor>
  <xdr:oneCellAnchor>
    <xdr:from>
      <xdr:col>11</xdr:col>
      <xdr:colOff>228600</xdr:colOff>
      <xdr:row>1</xdr:row>
      <xdr:rowOff>0</xdr:rowOff>
    </xdr:from>
    <xdr:ext cx="765313" cy="190500"/>
    <xdr:pic>
      <xdr:nvPicPr>
        <xdr:cNvPr id="142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190500"/>
          <a:ext cx="765313" cy="190500"/>
        </a:xfrm>
        <a:prstGeom prst="rect">
          <a:avLst/>
        </a:prstGeom>
        <a:noFill/>
        <a:ln w="9525">
          <a:miter lim="800000"/>
          <a:headEnd/>
          <a:tailEnd/>
        </a:ln>
      </xdr:spPr>
    </xdr:pic>
    <xdr:clientData/>
  </xdr:oneCellAnchor>
  <xdr:oneCellAnchor>
    <xdr:from>
      <xdr:col>11</xdr:col>
      <xdr:colOff>228600</xdr:colOff>
      <xdr:row>1</xdr:row>
      <xdr:rowOff>0</xdr:rowOff>
    </xdr:from>
    <xdr:ext cx="765313" cy="190500"/>
    <xdr:pic>
      <xdr:nvPicPr>
        <xdr:cNvPr id="142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190500"/>
          <a:ext cx="765313" cy="190500"/>
        </a:xfrm>
        <a:prstGeom prst="rect">
          <a:avLst/>
        </a:prstGeom>
        <a:noFill/>
        <a:ln w="9525">
          <a:miter lim="800000"/>
          <a:headEnd/>
          <a:tailEnd/>
        </a:ln>
      </xdr:spPr>
    </xdr:pic>
    <xdr:clientData/>
  </xdr:oneCellAnchor>
  <xdr:oneCellAnchor>
    <xdr:from>
      <xdr:col>11</xdr:col>
      <xdr:colOff>342900</xdr:colOff>
      <xdr:row>1</xdr:row>
      <xdr:rowOff>0</xdr:rowOff>
    </xdr:from>
    <xdr:ext cx="765313" cy="190500"/>
    <xdr:pic>
      <xdr:nvPicPr>
        <xdr:cNvPr id="143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190500"/>
          <a:ext cx="765313" cy="190500"/>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431" name="Control 1" hidden="1">
          <a:extLst>
            <a:ext uri="{63B3BB69-23CF-44E3-9099-C40C66FF867C}">
              <a14:compatExt xmlns:a14="http://schemas.microsoft.com/office/drawing/2010/main" spid="_x0000_s1025"/>
            </a:ext>
          </a:extLst>
        </xdr:cNvPr>
        <xdr:cNvSpPr/>
      </xdr:nvSpPr>
      <xdr:spPr bwMode="auto">
        <a:xfrm>
          <a:off x="7853136" y="19050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432" name="Control 2" hidden="1">
          <a:extLst>
            <a:ext uri="{63B3BB69-23CF-44E3-9099-C40C66FF867C}">
              <a14:compatExt xmlns:a14="http://schemas.microsoft.com/office/drawing/2010/main" spid="_x0000_s1026"/>
            </a:ext>
          </a:extLst>
        </xdr:cNvPr>
        <xdr:cNvSpPr/>
      </xdr:nvSpPr>
      <xdr:spPr bwMode="auto">
        <a:xfrm>
          <a:off x="7853136" y="19050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433" name="Control 3" hidden="1">
          <a:extLst>
            <a:ext uri="{63B3BB69-23CF-44E3-9099-C40C66FF867C}">
              <a14:compatExt xmlns:a14="http://schemas.microsoft.com/office/drawing/2010/main" spid="_x0000_s1027"/>
            </a:ext>
          </a:extLst>
        </xdr:cNvPr>
        <xdr:cNvSpPr/>
      </xdr:nvSpPr>
      <xdr:spPr bwMode="auto">
        <a:xfrm>
          <a:off x="7967436" y="19050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43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19050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43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19050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43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19050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437" name="Control 1" hidden="1">
          <a:extLst>
            <a:ext uri="{63B3BB69-23CF-44E3-9099-C40C66FF867C}">
              <a14:compatExt xmlns:a14="http://schemas.microsoft.com/office/drawing/2010/main" spid="_x0000_s1025"/>
            </a:ext>
          </a:extLst>
        </xdr:cNvPr>
        <xdr:cNvSpPr/>
      </xdr:nvSpPr>
      <xdr:spPr bwMode="auto">
        <a:xfrm>
          <a:off x="7853136" y="19050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438" name="Control 2" hidden="1">
          <a:extLst>
            <a:ext uri="{63B3BB69-23CF-44E3-9099-C40C66FF867C}">
              <a14:compatExt xmlns:a14="http://schemas.microsoft.com/office/drawing/2010/main" spid="_x0000_s1026"/>
            </a:ext>
          </a:extLst>
        </xdr:cNvPr>
        <xdr:cNvSpPr/>
      </xdr:nvSpPr>
      <xdr:spPr bwMode="auto">
        <a:xfrm>
          <a:off x="7853136" y="19050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439" name="Control 3" hidden="1">
          <a:extLst>
            <a:ext uri="{63B3BB69-23CF-44E3-9099-C40C66FF867C}">
              <a14:compatExt xmlns:a14="http://schemas.microsoft.com/office/drawing/2010/main" spid="_x0000_s1027"/>
            </a:ext>
          </a:extLst>
        </xdr:cNvPr>
        <xdr:cNvSpPr/>
      </xdr:nvSpPr>
      <xdr:spPr bwMode="auto">
        <a:xfrm>
          <a:off x="7967436" y="19050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44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19050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44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19050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44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19050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443"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444"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445"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44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44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44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49"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50"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51"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5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5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5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55"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56"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57"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5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5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6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461"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462"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463"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46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46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46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67"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68"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69"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7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7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7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73"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74"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75"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7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7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7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479"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480"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481"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48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48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48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85"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86"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87"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8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8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9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491"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492"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493"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49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49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49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497"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498"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499"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50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50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50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03"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04"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05"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0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0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0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09"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10"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11"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1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1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1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515"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516"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517"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51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51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52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21"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22"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23"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2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2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2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27"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28"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29"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3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3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3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500"/>
    <xdr:sp macro="" textlink="">
      <xdr:nvSpPr>
        <xdr:cNvPr id="1533" name="Control 1" hidden="1">
          <a:extLst>
            <a:ext uri="{63B3BB69-23CF-44E3-9099-C40C66FF867C}">
              <a14:compatExt xmlns:a14="http://schemas.microsoft.com/office/drawing/2010/main" spid="_x0000_s1025"/>
            </a:ext>
          </a:extLst>
        </xdr:cNvPr>
        <xdr:cNvSpPr/>
      </xdr:nvSpPr>
      <xdr:spPr bwMode="auto">
        <a:xfrm>
          <a:off x="7853136" y="190500"/>
          <a:ext cx="765313" cy="190500"/>
        </a:xfrm>
        <a:prstGeom prst="rect">
          <a:avLst/>
        </a:prstGeom>
        <a:noFill/>
        <a:ln w="9525">
          <a:miter lim="800000"/>
          <a:headEnd/>
          <a:tailEnd/>
        </a:ln>
      </xdr:spPr>
    </xdr:sp>
    <xdr:clientData/>
  </xdr:oneCellAnchor>
  <xdr:oneCellAnchor>
    <xdr:from>
      <xdr:col>11</xdr:col>
      <xdr:colOff>233136</xdr:colOff>
      <xdr:row>1</xdr:row>
      <xdr:rowOff>0</xdr:rowOff>
    </xdr:from>
    <xdr:ext cx="765313" cy="190500"/>
    <xdr:sp macro="" textlink="">
      <xdr:nvSpPr>
        <xdr:cNvPr id="1534" name="Control 2" hidden="1">
          <a:extLst>
            <a:ext uri="{63B3BB69-23CF-44E3-9099-C40C66FF867C}">
              <a14:compatExt xmlns:a14="http://schemas.microsoft.com/office/drawing/2010/main" spid="_x0000_s1026"/>
            </a:ext>
          </a:extLst>
        </xdr:cNvPr>
        <xdr:cNvSpPr/>
      </xdr:nvSpPr>
      <xdr:spPr bwMode="auto">
        <a:xfrm>
          <a:off x="7853136" y="190500"/>
          <a:ext cx="765313" cy="190500"/>
        </a:xfrm>
        <a:prstGeom prst="rect">
          <a:avLst/>
        </a:prstGeom>
        <a:noFill/>
        <a:ln w="9525">
          <a:miter lim="800000"/>
          <a:headEnd/>
          <a:tailEnd/>
        </a:ln>
      </xdr:spPr>
    </xdr:sp>
    <xdr:clientData/>
  </xdr:oneCellAnchor>
  <xdr:oneCellAnchor>
    <xdr:from>
      <xdr:col>11</xdr:col>
      <xdr:colOff>347436</xdr:colOff>
      <xdr:row>1</xdr:row>
      <xdr:rowOff>0</xdr:rowOff>
    </xdr:from>
    <xdr:ext cx="765313" cy="190500"/>
    <xdr:sp macro="" textlink="">
      <xdr:nvSpPr>
        <xdr:cNvPr id="1535" name="Control 3" hidden="1">
          <a:extLst>
            <a:ext uri="{63B3BB69-23CF-44E3-9099-C40C66FF867C}">
              <a14:compatExt xmlns:a14="http://schemas.microsoft.com/office/drawing/2010/main" spid="_x0000_s1027"/>
            </a:ext>
          </a:extLst>
        </xdr:cNvPr>
        <xdr:cNvSpPr/>
      </xdr:nvSpPr>
      <xdr:spPr bwMode="auto">
        <a:xfrm>
          <a:off x="7967436" y="190500"/>
          <a:ext cx="765313" cy="190500"/>
        </a:xfrm>
        <a:prstGeom prst="rect">
          <a:avLst/>
        </a:prstGeom>
        <a:noFill/>
        <a:ln w="9525">
          <a:miter lim="800000"/>
          <a:headEnd/>
          <a:tailEnd/>
        </a:ln>
      </xdr:spPr>
    </xdr:sp>
    <xdr:clientData/>
  </xdr:oneCellAnchor>
  <xdr:oneCellAnchor>
    <xdr:from>
      <xdr:col>11</xdr:col>
      <xdr:colOff>228600</xdr:colOff>
      <xdr:row>1</xdr:row>
      <xdr:rowOff>0</xdr:rowOff>
    </xdr:from>
    <xdr:ext cx="765313" cy="190500"/>
    <xdr:pic>
      <xdr:nvPicPr>
        <xdr:cNvPr id="153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190500"/>
          <a:ext cx="765313" cy="190500"/>
        </a:xfrm>
        <a:prstGeom prst="rect">
          <a:avLst/>
        </a:prstGeom>
        <a:noFill/>
        <a:ln w="9525">
          <a:miter lim="800000"/>
          <a:headEnd/>
          <a:tailEnd/>
        </a:ln>
      </xdr:spPr>
    </xdr:pic>
    <xdr:clientData/>
  </xdr:oneCellAnchor>
  <xdr:oneCellAnchor>
    <xdr:from>
      <xdr:col>11</xdr:col>
      <xdr:colOff>228600</xdr:colOff>
      <xdr:row>1</xdr:row>
      <xdr:rowOff>0</xdr:rowOff>
    </xdr:from>
    <xdr:ext cx="765313" cy="190500"/>
    <xdr:pic>
      <xdr:nvPicPr>
        <xdr:cNvPr id="153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190500"/>
          <a:ext cx="765313" cy="190500"/>
        </a:xfrm>
        <a:prstGeom prst="rect">
          <a:avLst/>
        </a:prstGeom>
        <a:noFill/>
        <a:ln w="9525">
          <a:miter lim="800000"/>
          <a:headEnd/>
          <a:tailEnd/>
        </a:ln>
      </xdr:spPr>
    </xdr:pic>
    <xdr:clientData/>
  </xdr:oneCellAnchor>
  <xdr:oneCellAnchor>
    <xdr:from>
      <xdr:col>11</xdr:col>
      <xdr:colOff>342900</xdr:colOff>
      <xdr:row>1</xdr:row>
      <xdr:rowOff>0</xdr:rowOff>
    </xdr:from>
    <xdr:ext cx="765313" cy="190500"/>
    <xdr:pic>
      <xdr:nvPicPr>
        <xdr:cNvPr id="153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190500"/>
          <a:ext cx="765313" cy="190500"/>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539" name="Control 1" hidden="1">
          <a:extLst>
            <a:ext uri="{63B3BB69-23CF-44E3-9099-C40C66FF867C}">
              <a14:compatExt xmlns:a14="http://schemas.microsoft.com/office/drawing/2010/main" spid="_x0000_s1025"/>
            </a:ext>
          </a:extLst>
        </xdr:cNvPr>
        <xdr:cNvSpPr/>
      </xdr:nvSpPr>
      <xdr:spPr bwMode="auto">
        <a:xfrm>
          <a:off x="7853136" y="19050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540" name="Control 2" hidden="1">
          <a:extLst>
            <a:ext uri="{63B3BB69-23CF-44E3-9099-C40C66FF867C}">
              <a14:compatExt xmlns:a14="http://schemas.microsoft.com/office/drawing/2010/main" spid="_x0000_s1026"/>
            </a:ext>
          </a:extLst>
        </xdr:cNvPr>
        <xdr:cNvSpPr/>
      </xdr:nvSpPr>
      <xdr:spPr bwMode="auto">
        <a:xfrm>
          <a:off x="7853136" y="19050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541" name="Control 3" hidden="1">
          <a:extLst>
            <a:ext uri="{63B3BB69-23CF-44E3-9099-C40C66FF867C}">
              <a14:compatExt xmlns:a14="http://schemas.microsoft.com/office/drawing/2010/main" spid="_x0000_s1027"/>
            </a:ext>
          </a:extLst>
        </xdr:cNvPr>
        <xdr:cNvSpPr/>
      </xdr:nvSpPr>
      <xdr:spPr bwMode="auto">
        <a:xfrm>
          <a:off x="7967436" y="19050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54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19050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54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19050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54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190500"/>
          <a:ext cx="765313" cy="193262"/>
        </a:xfrm>
        <a:prstGeom prst="rect">
          <a:avLst/>
        </a:prstGeom>
        <a:noFill/>
        <a:ln w="9525">
          <a:miter lim="800000"/>
          <a:headEnd/>
          <a:tailEnd/>
        </a:ln>
      </xdr:spPr>
    </xdr:pic>
    <xdr:clientData/>
  </xdr:oneCellAnchor>
  <xdr:oneCellAnchor>
    <xdr:from>
      <xdr:col>11</xdr:col>
      <xdr:colOff>233136</xdr:colOff>
      <xdr:row>1</xdr:row>
      <xdr:rowOff>0</xdr:rowOff>
    </xdr:from>
    <xdr:ext cx="765313" cy="190994"/>
    <xdr:sp macro="" textlink="">
      <xdr:nvSpPr>
        <xdr:cNvPr id="1545" name="Control 1" hidden="1">
          <a:extLst>
            <a:ext uri="{63B3BB69-23CF-44E3-9099-C40C66FF867C}">
              <a14:compatExt xmlns:a14="http://schemas.microsoft.com/office/drawing/2010/main" spid="_x0000_s1025"/>
            </a:ext>
          </a:extLst>
        </xdr:cNvPr>
        <xdr:cNvSpPr/>
      </xdr:nvSpPr>
      <xdr:spPr bwMode="auto">
        <a:xfrm>
          <a:off x="7853136" y="190500"/>
          <a:ext cx="765313" cy="190994"/>
        </a:xfrm>
        <a:prstGeom prst="rect">
          <a:avLst/>
        </a:prstGeom>
        <a:noFill/>
        <a:ln w="9525">
          <a:miter lim="800000"/>
          <a:headEnd/>
          <a:tailEnd/>
        </a:ln>
      </xdr:spPr>
    </xdr:sp>
    <xdr:clientData/>
  </xdr:oneCellAnchor>
  <xdr:oneCellAnchor>
    <xdr:from>
      <xdr:col>11</xdr:col>
      <xdr:colOff>233136</xdr:colOff>
      <xdr:row>1</xdr:row>
      <xdr:rowOff>0</xdr:rowOff>
    </xdr:from>
    <xdr:ext cx="765313" cy="190994"/>
    <xdr:sp macro="" textlink="">
      <xdr:nvSpPr>
        <xdr:cNvPr id="1546" name="Control 2" hidden="1">
          <a:extLst>
            <a:ext uri="{63B3BB69-23CF-44E3-9099-C40C66FF867C}">
              <a14:compatExt xmlns:a14="http://schemas.microsoft.com/office/drawing/2010/main" spid="_x0000_s1026"/>
            </a:ext>
          </a:extLst>
        </xdr:cNvPr>
        <xdr:cNvSpPr/>
      </xdr:nvSpPr>
      <xdr:spPr bwMode="auto">
        <a:xfrm>
          <a:off x="7853136" y="190500"/>
          <a:ext cx="765313" cy="190994"/>
        </a:xfrm>
        <a:prstGeom prst="rect">
          <a:avLst/>
        </a:prstGeom>
        <a:noFill/>
        <a:ln w="9525">
          <a:miter lim="800000"/>
          <a:headEnd/>
          <a:tailEnd/>
        </a:ln>
      </xdr:spPr>
    </xdr:sp>
    <xdr:clientData/>
  </xdr:oneCellAnchor>
  <xdr:oneCellAnchor>
    <xdr:from>
      <xdr:col>11</xdr:col>
      <xdr:colOff>347436</xdr:colOff>
      <xdr:row>1</xdr:row>
      <xdr:rowOff>0</xdr:rowOff>
    </xdr:from>
    <xdr:ext cx="765313" cy="190994"/>
    <xdr:sp macro="" textlink="">
      <xdr:nvSpPr>
        <xdr:cNvPr id="1547" name="Control 3" hidden="1">
          <a:extLst>
            <a:ext uri="{63B3BB69-23CF-44E3-9099-C40C66FF867C}">
              <a14:compatExt xmlns:a14="http://schemas.microsoft.com/office/drawing/2010/main" spid="_x0000_s1027"/>
            </a:ext>
          </a:extLst>
        </xdr:cNvPr>
        <xdr:cNvSpPr/>
      </xdr:nvSpPr>
      <xdr:spPr bwMode="auto">
        <a:xfrm>
          <a:off x="7967436" y="190500"/>
          <a:ext cx="765313" cy="190994"/>
        </a:xfrm>
        <a:prstGeom prst="rect">
          <a:avLst/>
        </a:prstGeom>
        <a:noFill/>
        <a:ln w="9525">
          <a:miter lim="800000"/>
          <a:headEnd/>
          <a:tailEnd/>
        </a:ln>
      </xdr:spPr>
    </xdr:sp>
    <xdr:clientData/>
  </xdr:oneCellAnchor>
  <xdr:oneCellAnchor>
    <xdr:from>
      <xdr:col>11</xdr:col>
      <xdr:colOff>228600</xdr:colOff>
      <xdr:row>1</xdr:row>
      <xdr:rowOff>0</xdr:rowOff>
    </xdr:from>
    <xdr:ext cx="765313" cy="193262"/>
    <xdr:pic>
      <xdr:nvPicPr>
        <xdr:cNvPr id="154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190500"/>
          <a:ext cx="765313" cy="193262"/>
        </a:xfrm>
        <a:prstGeom prst="rect">
          <a:avLst/>
        </a:prstGeom>
        <a:noFill/>
        <a:ln w="9525">
          <a:miter lim="800000"/>
          <a:headEnd/>
          <a:tailEnd/>
        </a:ln>
      </xdr:spPr>
    </xdr:pic>
    <xdr:clientData/>
  </xdr:oneCellAnchor>
  <xdr:oneCellAnchor>
    <xdr:from>
      <xdr:col>11</xdr:col>
      <xdr:colOff>228600</xdr:colOff>
      <xdr:row>1</xdr:row>
      <xdr:rowOff>0</xdr:rowOff>
    </xdr:from>
    <xdr:ext cx="765313" cy="193262"/>
    <xdr:pic>
      <xdr:nvPicPr>
        <xdr:cNvPr id="154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190500"/>
          <a:ext cx="765313" cy="193262"/>
        </a:xfrm>
        <a:prstGeom prst="rect">
          <a:avLst/>
        </a:prstGeom>
        <a:noFill/>
        <a:ln w="9525">
          <a:miter lim="800000"/>
          <a:headEnd/>
          <a:tailEnd/>
        </a:ln>
      </xdr:spPr>
    </xdr:pic>
    <xdr:clientData/>
  </xdr:oneCellAnchor>
  <xdr:oneCellAnchor>
    <xdr:from>
      <xdr:col>11</xdr:col>
      <xdr:colOff>342900</xdr:colOff>
      <xdr:row>1</xdr:row>
      <xdr:rowOff>0</xdr:rowOff>
    </xdr:from>
    <xdr:ext cx="765313" cy="193262"/>
    <xdr:pic>
      <xdr:nvPicPr>
        <xdr:cNvPr id="155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19050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551"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552"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553"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55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55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55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57"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58"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59"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6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6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6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63"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64"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65"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6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6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6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569"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570"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571"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57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57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57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75"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76"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77"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7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7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8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81"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82"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83"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8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8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8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587"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588"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589"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59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59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59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93"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594"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595"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59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59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59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599"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00"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01"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0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0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0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605"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606"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607"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60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60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61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11"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12"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13"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1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1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1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17"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18"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19"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2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2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2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623"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624"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625"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62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62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62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29"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30"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31"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3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3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3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35"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36"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37"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3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3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4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641"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642"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643"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64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64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64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47"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48"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49"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5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5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5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53"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54"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55"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5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5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5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659"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660"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661"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66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66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66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65"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66"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67"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6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6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7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71"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72"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73"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7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7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7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677"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678"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679"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68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68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68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83"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84"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85"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8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8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8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689"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690"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691"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69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69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69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695"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696"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697"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69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69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70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01"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02"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03"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0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0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0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07"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08"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09"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1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1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1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713"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714"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715"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71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71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71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19"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20"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21"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2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2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2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25"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26"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27"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2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2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3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731"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732"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733"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73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73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73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37"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38"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39"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4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4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4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43"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44"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45"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4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4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4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2</xdr:row>
      <xdr:rowOff>0</xdr:rowOff>
    </xdr:from>
    <xdr:ext cx="765313" cy="190500"/>
    <xdr:sp macro="" textlink="">
      <xdr:nvSpPr>
        <xdr:cNvPr id="1749" name="Control 1" hidden="1">
          <a:extLst>
            <a:ext uri="{63B3BB69-23CF-44E3-9099-C40C66FF867C}">
              <a14:compatExt xmlns:a14="http://schemas.microsoft.com/office/drawing/2010/main" spid="_x0000_s1025"/>
            </a:ext>
          </a:extLst>
        </xdr:cNvPr>
        <xdr:cNvSpPr/>
      </xdr:nvSpPr>
      <xdr:spPr bwMode="auto">
        <a:xfrm>
          <a:off x="7853136" y="381000"/>
          <a:ext cx="765313" cy="190500"/>
        </a:xfrm>
        <a:prstGeom prst="rect">
          <a:avLst/>
        </a:prstGeom>
        <a:noFill/>
        <a:ln w="9525">
          <a:miter lim="800000"/>
          <a:headEnd/>
          <a:tailEnd/>
        </a:ln>
      </xdr:spPr>
    </xdr:sp>
    <xdr:clientData/>
  </xdr:oneCellAnchor>
  <xdr:oneCellAnchor>
    <xdr:from>
      <xdr:col>11</xdr:col>
      <xdr:colOff>233136</xdr:colOff>
      <xdr:row>2</xdr:row>
      <xdr:rowOff>0</xdr:rowOff>
    </xdr:from>
    <xdr:ext cx="765313" cy="190500"/>
    <xdr:sp macro="" textlink="">
      <xdr:nvSpPr>
        <xdr:cNvPr id="1750" name="Control 2" hidden="1">
          <a:extLst>
            <a:ext uri="{63B3BB69-23CF-44E3-9099-C40C66FF867C}">
              <a14:compatExt xmlns:a14="http://schemas.microsoft.com/office/drawing/2010/main" spid="_x0000_s1026"/>
            </a:ext>
          </a:extLst>
        </xdr:cNvPr>
        <xdr:cNvSpPr/>
      </xdr:nvSpPr>
      <xdr:spPr bwMode="auto">
        <a:xfrm>
          <a:off x="7853136" y="381000"/>
          <a:ext cx="765313" cy="190500"/>
        </a:xfrm>
        <a:prstGeom prst="rect">
          <a:avLst/>
        </a:prstGeom>
        <a:noFill/>
        <a:ln w="9525">
          <a:miter lim="800000"/>
          <a:headEnd/>
          <a:tailEnd/>
        </a:ln>
      </xdr:spPr>
    </xdr:sp>
    <xdr:clientData/>
  </xdr:oneCellAnchor>
  <xdr:oneCellAnchor>
    <xdr:from>
      <xdr:col>11</xdr:col>
      <xdr:colOff>347436</xdr:colOff>
      <xdr:row>2</xdr:row>
      <xdr:rowOff>0</xdr:rowOff>
    </xdr:from>
    <xdr:ext cx="765313" cy="190500"/>
    <xdr:sp macro="" textlink="">
      <xdr:nvSpPr>
        <xdr:cNvPr id="1751" name="Control 3" hidden="1">
          <a:extLst>
            <a:ext uri="{63B3BB69-23CF-44E3-9099-C40C66FF867C}">
              <a14:compatExt xmlns:a14="http://schemas.microsoft.com/office/drawing/2010/main" spid="_x0000_s1027"/>
            </a:ext>
          </a:extLst>
        </xdr:cNvPr>
        <xdr:cNvSpPr/>
      </xdr:nvSpPr>
      <xdr:spPr bwMode="auto">
        <a:xfrm>
          <a:off x="7967436" y="381000"/>
          <a:ext cx="765313" cy="190500"/>
        </a:xfrm>
        <a:prstGeom prst="rect">
          <a:avLst/>
        </a:prstGeom>
        <a:noFill/>
        <a:ln w="9525">
          <a:miter lim="800000"/>
          <a:headEnd/>
          <a:tailEnd/>
        </a:ln>
      </xdr:spPr>
    </xdr:sp>
    <xdr:clientData/>
  </xdr:oneCellAnchor>
  <xdr:oneCellAnchor>
    <xdr:from>
      <xdr:col>11</xdr:col>
      <xdr:colOff>228600</xdr:colOff>
      <xdr:row>2</xdr:row>
      <xdr:rowOff>0</xdr:rowOff>
    </xdr:from>
    <xdr:ext cx="765313" cy="190500"/>
    <xdr:pic>
      <xdr:nvPicPr>
        <xdr:cNvPr id="175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381000"/>
          <a:ext cx="765313" cy="190500"/>
        </a:xfrm>
        <a:prstGeom prst="rect">
          <a:avLst/>
        </a:prstGeom>
        <a:noFill/>
        <a:ln w="9525">
          <a:miter lim="800000"/>
          <a:headEnd/>
          <a:tailEnd/>
        </a:ln>
      </xdr:spPr>
    </xdr:pic>
    <xdr:clientData/>
  </xdr:oneCellAnchor>
  <xdr:oneCellAnchor>
    <xdr:from>
      <xdr:col>11</xdr:col>
      <xdr:colOff>228600</xdr:colOff>
      <xdr:row>2</xdr:row>
      <xdr:rowOff>0</xdr:rowOff>
    </xdr:from>
    <xdr:ext cx="765313" cy="190500"/>
    <xdr:pic>
      <xdr:nvPicPr>
        <xdr:cNvPr id="175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381000"/>
          <a:ext cx="765313" cy="190500"/>
        </a:xfrm>
        <a:prstGeom prst="rect">
          <a:avLst/>
        </a:prstGeom>
        <a:noFill/>
        <a:ln w="9525">
          <a:miter lim="800000"/>
          <a:headEnd/>
          <a:tailEnd/>
        </a:ln>
      </xdr:spPr>
    </xdr:pic>
    <xdr:clientData/>
  </xdr:oneCellAnchor>
  <xdr:oneCellAnchor>
    <xdr:from>
      <xdr:col>11</xdr:col>
      <xdr:colOff>342900</xdr:colOff>
      <xdr:row>2</xdr:row>
      <xdr:rowOff>0</xdr:rowOff>
    </xdr:from>
    <xdr:ext cx="765313" cy="190500"/>
    <xdr:pic>
      <xdr:nvPicPr>
        <xdr:cNvPr id="175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381000"/>
          <a:ext cx="765313" cy="190500"/>
        </a:xfrm>
        <a:prstGeom prst="rect">
          <a:avLst/>
        </a:prstGeom>
        <a:noFill/>
        <a:ln w="9525">
          <a:miter lim="800000"/>
          <a:headEnd/>
          <a:tailEnd/>
        </a:ln>
      </xdr:spPr>
    </xdr:pic>
    <xdr:clientData/>
  </xdr:oneCellAnchor>
  <xdr:oneCellAnchor>
    <xdr:from>
      <xdr:col>11</xdr:col>
      <xdr:colOff>233136</xdr:colOff>
      <xdr:row>2</xdr:row>
      <xdr:rowOff>0</xdr:rowOff>
    </xdr:from>
    <xdr:ext cx="765313" cy="190994"/>
    <xdr:sp macro="" textlink="">
      <xdr:nvSpPr>
        <xdr:cNvPr id="1755" name="Control 1" hidden="1">
          <a:extLst>
            <a:ext uri="{63B3BB69-23CF-44E3-9099-C40C66FF867C}">
              <a14:compatExt xmlns:a14="http://schemas.microsoft.com/office/drawing/2010/main" spid="_x0000_s1025"/>
            </a:ext>
          </a:extLst>
        </xdr:cNvPr>
        <xdr:cNvSpPr/>
      </xdr:nvSpPr>
      <xdr:spPr bwMode="auto">
        <a:xfrm>
          <a:off x="7853136" y="381000"/>
          <a:ext cx="765313" cy="190994"/>
        </a:xfrm>
        <a:prstGeom prst="rect">
          <a:avLst/>
        </a:prstGeom>
        <a:noFill/>
        <a:ln w="9525">
          <a:miter lim="800000"/>
          <a:headEnd/>
          <a:tailEnd/>
        </a:ln>
      </xdr:spPr>
    </xdr:sp>
    <xdr:clientData/>
  </xdr:oneCellAnchor>
  <xdr:oneCellAnchor>
    <xdr:from>
      <xdr:col>11</xdr:col>
      <xdr:colOff>233136</xdr:colOff>
      <xdr:row>2</xdr:row>
      <xdr:rowOff>0</xdr:rowOff>
    </xdr:from>
    <xdr:ext cx="765313" cy="190994"/>
    <xdr:sp macro="" textlink="">
      <xdr:nvSpPr>
        <xdr:cNvPr id="1756" name="Control 2" hidden="1">
          <a:extLst>
            <a:ext uri="{63B3BB69-23CF-44E3-9099-C40C66FF867C}">
              <a14:compatExt xmlns:a14="http://schemas.microsoft.com/office/drawing/2010/main" spid="_x0000_s1026"/>
            </a:ext>
          </a:extLst>
        </xdr:cNvPr>
        <xdr:cNvSpPr/>
      </xdr:nvSpPr>
      <xdr:spPr bwMode="auto">
        <a:xfrm>
          <a:off x="7853136" y="381000"/>
          <a:ext cx="765313" cy="190994"/>
        </a:xfrm>
        <a:prstGeom prst="rect">
          <a:avLst/>
        </a:prstGeom>
        <a:noFill/>
        <a:ln w="9525">
          <a:miter lim="800000"/>
          <a:headEnd/>
          <a:tailEnd/>
        </a:ln>
      </xdr:spPr>
    </xdr:sp>
    <xdr:clientData/>
  </xdr:oneCellAnchor>
  <xdr:oneCellAnchor>
    <xdr:from>
      <xdr:col>11</xdr:col>
      <xdr:colOff>347436</xdr:colOff>
      <xdr:row>2</xdr:row>
      <xdr:rowOff>0</xdr:rowOff>
    </xdr:from>
    <xdr:ext cx="765313" cy="190994"/>
    <xdr:sp macro="" textlink="">
      <xdr:nvSpPr>
        <xdr:cNvPr id="1757" name="Control 3" hidden="1">
          <a:extLst>
            <a:ext uri="{63B3BB69-23CF-44E3-9099-C40C66FF867C}">
              <a14:compatExt xmlns:a14="http://schemas.microsoft.com/office/drawing/2010/main" spid="_x0000_s1027"/>
            </a:ext>
          </a:extLst>
        </xdr:cNvPr>
        <xdr:cNvSpPr/>
      </xdr:nvSpPr>
      <xdr:spPr bwMode="auto">
        <a:xfrm>
          <a:off x="7967436" y="381000"/>
          <a:ext cx="765313" cy="190994"/>
        </a:xfrm>
        <a:prstGeom prst="rect">
          <a:avLst/>
        </a:prstGeom>
        <a:noFill/>
        <a:ln w="9525">
          <a:miter lim="800000"/>
          <a:headEnd/>
          <a:tailEnd/>
        </a:ln>
      </xdr:spPr>
    </xdr:sp>
    <xdr:clientData/>
  </xdr:oneCellAnchor>
  <xdr:oneCellAnchor>
    <xdr:from>
      <xdr:col>11</xdr:col>
      <xdr:colOff>228600</xdr:colOff>
      <xdr:row>2</xdr:row>
      <xdr:rowOff>0</xdr:rowOff>
    </xdr:from>
    <xdr:ext cx="765313" cy="193262"/>
    <xdr:pic>
      <xdr:nvPicPr>
        <xdr:cNvPr id="1758"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381000"/>
          <a:ext cx="765313" cy="193262"/>
        </a:xfrm>
        <a:prstGeom prst="rect">
          <a:avLst/>
        </a:prstGeom>
        <a:noFill/>
        <a:ln w="9525">
          <a:miter lim="800000"/>
          <a:headEnd/>
          <a:tailEnd/>
        </a:ln>
      </xdr:spPr>
    </xdr:pic>
    <xdr:clientData/>
  </xdr:oneCellAnchor>
  <xdr:oneCellAnchor>
    <xdr:from>
      <xdr:col>11</xdr:col>
      <xdr:colOff>228600</xdr:colOff>
      <xdr:row>2</xdr:row>
      <xdr:rowOff>0</xdr:rowOff>
    </xdr:from>
    <xdr:ext cx="765313" cy="193262"/>
    <xdr:pic>
      <xdr:nvPicPr>
        <xdr:cNvPr id="1759"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381000"/>
          <a:ext cx="765313" cy="193262"/>
        </a:xfrm>
        <a:prstGeom prst="rect">
          <a:avLst/>
        </a:prstGeom>
        <a:noFill/>
        <a:ln w="9525">
          <a:miter lim="800000"/>
          <a:headEnd/>
          <a:tailEnd/>
        </a:ln>
      </xdr:spPr>
    </xdr:pic>
    <xdr:clientData/>
  </xdr:oneCellAnchor>
  <xdr:oneCellAnchor>
    <xdr:from>
      <xdr:col>11</xdr:col>
      <xdr:colOff>342900</xdr:colOff>
      <xdr:row>2</xdr:row>
      <xdr:rowOff>0</xdr:rowOff>
    </xdr:from>
    <xdr:ext cx="765313" cy="193262"/>
    <xdr:pic>
      <xdr:nvPicPr>
        <xdr:cNvPr id="1760"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381000"/>
          <a:ext cx="765313" cy="193262"/>
        </a:xfrm>
        <a:prstGeom prst="rect">
          <a:avLst/>
        </a:prstGeom>
        <a:noFill/>
        <a:ln w="9525">
          <a:miter lim="800000"/>
          <a:headEnd/>
          <a:tailEnd/>
        </a:ln>
      </xdr:spPr>
    </xdr:pic>
    <xdr:clientData/>
  </xdr:oneCellAnchor>
  <xdr:oneCellAnchor>
    <xdr:from>
      <xdr:col>11</xdr:col>
      <xdr:colOff>233136</xdr:colOff>
      <xdr:row>2</xdr:row>
      <xdr:rowOff>0</xdr:rowOff>
    </xdr:from>
    <xdr:ext cx="765313" cy="190994"/>
    <xdr:sp macro="" textlink="">
      <xdr:nvSpPr>
        <xdr:cNvPr id="1761" name="Control 1" hidden="1">
          <a:extLst>
            <a:ext uri="{63B3BB69-23CF-44E3-9099-C40C66FF867C}">
              <a14:compatExt xmlns:a14="http://schemas.microsoft.com/office/drawing/2010/main" spid="_x0000_s1025"/>
            </a:ext>
          </a:extLst>
        </xdr:cNvPr>
        <xdr:cNvSpPr/>
      </xdr:nvSpPr>
      <xdr:spPr bwMode="auto">
        <a:xfrm>
          <a:off x="7853136" y="381000"/>
          <a:ext cx="765313" cy="190994"/>
        </a:xfrm>
        <a:prstGeom prst="rect">
          <a:avLst/>
        </a:prstGeom>
        <a:noFill/>
        <a:ln w="9525">
          <a:miter lim="800000"/>
          <a:headEnd/>
          <a:tailEnd/>
        </a:ln>
      </xdr:spPr>
    </xdr:sp>
    <xdr:clientData/>
  </xdr:oneCellAnchor>
  <xdr:oneCellAnchor>
    <xdr:from>
      <xdr:col>11</xdr:col>
      <xdr:colOff>233136</xdr:colOff>
      <xdr:row>2</xdr:row>
      <xdr:rowOff>0</xdr:rowOff>
    </xdr:from>
    <xdr:ext cx="765313" cy="190994"/>
    <xdr:sp macro="" textlink="">
      <xdr:nvSpPr>
        <xdr:cNvPr id="1762" name="Control 2" hidden="1">
          <a:extLst>
            <a:ext uri="{63B3BB69-23CF-44E3-9099-C40C66FF867C}">
              <a14:compatExt xmlns:a14="http://schemas.microsoft.com/office/drawing/2010/main" spid="_x0000_s1026"/>
            </a:ext>
          </a:extLst>
        </xdr:cNvPr>
        <xdr:cNvSpPr/>
      </xdr:nvSpPr>
      <xdr:spPr bwMode="auto">
        <a:xfrm>
          <a:off x="7853136" y="381000"/>
          <a:ext cx="765313" cy="190994"/>
        </a:xfrm>
        <a:prstGeom prst="rect">
          <a:avLst/>
        </a:prstGeom>
        <a:noFill/>
        <a:ln w="9525">
          <a:miter lim="800000"/>
          <a:headEnd/>
          <a:tailEnd/>
        </a:ln>
      </xdr:spPr>
    </xdr:sp>
    <xdr:clientData/>
  </xdr:oneCellAnchor>
  <xdr:oneCellAnchor>
    <xdr:from>
      <xdr:col>11</xdr:col>
      <xdr:colOff>347436</xdr:colOff>
      <xdr:row>2</xdr:row>
      <xdr:rowOff>0</xdr:rowOff>
    </xdr:from>
    <xdr:ext cx="765313" cy="190994"/>
    <xdr:sp macro="" textlink="">
      <xdr:nvSpPr>
        <xdr:cNvPr id="1763" name="Control 3" hidden="1">
          <a:extLst>
            <a:ext uri="{63B3BB69-23CF-44E3-9099-C40C66FF867C}">
              <a14:compatExt xmlns:a14="http://schemas.microsoft.com/office/drawing/2010/main" spid="_x0000_s1027"/>
            </a:ext>
          </a:extLst>
        </xdr:cNvPr>
        <xdr:cNvSpPr/>
      </xdr:nvSpPr>
      <xdr:spPr bwMode="auto">
        <a:xfrm>
          <a:off x="7967436" y="381000"/>
          <a:ext cx="765313" cy="190994"/>
        </a:xfrm>
        <a:prstGeom prst="rect">
          <a:avLst/>
        </a:prstGeom>
        <a:noFill/>
        <a:ln w="9525">
          <a:miter lim="800000"/>
          <a:headEnd/>
          <a:tailEnd/>
        </a:ln>
      </xdr:spPr>
    </xdr:sp>
    <xdr:clientData/>
  </xdr:oneCellAnchor>
  <xdr:oneCellAnchor>
    <xdr:from>
      <xdr:col>11</xdr:col>
      <xdr:colOff>228600</xdr:colOff>
      <xdr:row>2</xdr:row>
      <xdr:rowOff>0</xdr:rowOff>
    </xdr:from>
    <xdr:ext cx="765313" cy="193262"/>
    <xdr:pic>
      <xdr:nvPicPr>
        <xdr:cNvPr id="1764"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381000"/>
          <a:ext cx="765313" cy="193262"/>
        </a:xfrm>
        <a:prstGeom prst="rect">
          <a:avLst/>
        </a:prstGeom>
        <a:noFill/>
        <a:ln w="9525">
          <a:miter lim="800000"/>
          <a:headEnd/>
          <a:tailEnd/>
        </a:ln>
      </xdr:spPr>
    </xdr:pic>
    <xdr:clientData/>
  </xdr:oneCellAnchor>
  <xdr:oneCellAnchor>
    <xdr:from>
      <xdr:col>11</xdr:col>
      <xdr:colOff>228600</xdr:colOff>
      <xdr:row>2</xdr:row>
      <xdr:rowOff>0</xdr:rowOff>
    </xdr:from>
    <xdr:ext cx="765313" cy="193262"/>
    <xdr:pic>
      <xdr:nvPicPr>
        <xdr:cNvPr id="1765"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381000"/>
          <a:ext cx="765313" cy="193262"/>
        </a:xfrm>
        <a:prstGeom prst="rect">
          <a:avLst/>
        </a:prstGeom>
        <a:noFill/>
        <a:ln w="9525">
          <a:miter lim="800000"/>
          <a:headEnd/>
          <a:tailEnd/>
        </a:ln>
      </xdr:spPr>
    </xdr:pic>
    <xdr:clientData/>
  </xdr:oneCellAnchor>
  <xdr:oneCellAnchor>
    <xdr:from>
      <xdr:col>11</xdr:col>
      <xdr:colOff>342900</xdr:colOff>
      <xdr:row>2</xdr:row>
      <xdr:rowOff>0</xdr:rowOff>
    </xdr:from>
    <xdr:ext cx="765313" cy="193262"/>
    <xdr:pic>
      <xdr:nvPicPr>
        <xdr:cNvPr id="1766"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38100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500"/>
    <xdr:sp macro="" textlink="">
      <xdr:nvSpPr>
        <xdr:cNvPr id="1767" name="Control 1" hidden="1">
          <a:extLst>
            <a:ext uri="{63B3BB69-23CF-44E3-9099-C40C66FF867C}">
              <a14:compatExt xmlns:a14="http://schemas.microsoft.com/office/drawing/2010/main" spid="_x0000_s1025"/>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233136</xdr:colOff>
      <xdr:row>0</xdr:row>
      <xdr:rowOff>0</xdr:rowOff>
    </xdr:from>
    <xdr:ext cx="765313" cy="190500"/>
    <xdr:sp macro="" textlink="">
      <xdr:nvSpPr>
        <xdr:cNvPr id="1768" name="Control 2" hidden="1">
          <a:extLst>
            <a:ext uri="{63B3BB69-23CF-44E3-9099-C40C66FF867C}">
              <a14:compatExt xmlns:a14="http://schemas.microsoft.com/office/drawing/2010/main" spid="_x0000_s1026"/>
            </a:ext>
          </a:extLst>
        </xdr:cNvPr>
        <xdr:cNvSpPr/>
      </xdr:nvSpPr>
      <xdr:spPr bwMode="auto">
        <a:xfrm>
          <a:off x="7853136" y="0"/>
          <a:ext cx="765313" cy="190500"/>
        </a:xfrm>
        <a:prstGeom prst="rect">
          <a:avLst/>
        </a:prstGeom>
        <a:noFill/>
        <a:ln w="9525">
          <a:miter lim="800000"/>
          <a:headEnd/>
          <a:tailEnd/>
        </a:ln>
      </xdr:spPr>
    </xdr:sp>
    <xdr:clientData/>
  </xdr:oneCellAnchor>
  <xdr:oneCellAnchor>
    <xdr:from>
      <xdr:col>11</xdr:col>
      <xdr:colOff>347436</xdr:colOff>
      <xdr:row>0</xdr:row>
      <xdr:rowOff>0</xdr:rowOff>
    </xdr:from>
    <xdr:ext cx="765313" cy="190500"/>
    <xdr:sp macro="" textlink="">
      <xdr:nvSpPr>
        <xdr:cNvPr id="1769" name="Control 3" hidden="1">
          <a:extLst>
            <a:ext uri="{63B3BB69-23CF-44E3-9099-C40C66FF867C}">
              <a14:compatExt xmlns:a14="http://schemas.microsoft.com/office/drawing/2010/main" spid="_x0000_s1027"/>
            </a:ext>
          </a:extLst>
        </xdr:cNvPr>
        <xdr:cNvSpPr/>
      </xdr:nvSpPr>
      <xdr:spPr bwMode="auto">
        <a:xfrm>
          <a:off x="7967436" y="0"/>
          <a:ext cx="765313" cy="190500"/>
        </a:xfrm>
        <a:prstGeom prst="rect">
          <a:avLst/>
        </a:prstGeom>
        <a:noFill/>
        <a:ln w="9525">
          <a:miter lim="800000"/>
          <a:headEnd/>
          <a:tailEnd/>
        </a:ln>
      </xdr:spPr>
    </xdr:sp>
    <xdr:clientData/>
  </xdr:oneCellAnchor>
  <xdr:oneCellAnchor>
    <xdr:from>
      <xdr:col>11</xdr:col>
      <xdr:colOff>228600</xdr:colOff>
      <xdr:row>0</xdr:row>
      <xdr:rowOff>0</xdr:rowOff>
    </xdr:from>
    <xdr:ext cx="765313" cy="190500"/>
    <xdr:pic>
      <xdr:nvPicPr>
        <xdr:cNvPr id="1770"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228600</xdr:colOff>
      <xdr:row>0</xdr:row>
      <xdr:rowOff>0</xdr:rowOff>
    </xdr:from>
    <xdr:ext cx="765313" cy="190500"/>
    <xdr:pic>
      <xdr:nvPicPr>
        <xdr:cNvPr id="1771"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0500"/>
        </a:xfrm>
        <a:prstGeom prst="rect">
          <a:avLst/>
        </a:prstGeom>
        <a:noFill/>
        <a:ln w="9525">
          <a:miter lim="800000"/>
          <a:headEnd/>
          <a:tailEnd/>
        </a:ln>
      </xdr:spPr>
    </xdr:pic>
    <xdr:clientData/>
  </xdr:oneCellAnchor>
  <xdr:oneCellAnchor>
    <xdr:from>
      <xdr:col>11</xdr:col>
      <xdr:colOff>342900</xdr:colOff>
      <xdr:row>0</xdr:row>
      <xdr:rowOff>0</xdr:rowOff>
    </xdr:from>
    <xdr:ext cx="765313" cy="190500"/>
    <xdr:pic>
      <xdr:nvPicPr>
        <xdr:cNvPr id="1772"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0500"/>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73"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74"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75"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76"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77"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78"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oneCellAnchor>
    <xdr:from>
      <xdr:col>11</xdr:col>
      <xdr:colOff>233136</xdr:colOff>
      <xdr:row>0</xdr:row>
      <xdr:rowOff>0</xdr:rowOff>
    </xdr:from>
    <xdr:ext cx="765313" cy="190994"/>
    <xdr:sp macro="" textlink="">
      <xdr:nvSpPr>
        <xdr:cNvPr id="1779" name="Control 1" hidden="1">
          <a:extLst>
            <a:ext uri="{63B3BB69-23CF-44E3-9099-C40C66FF867C}">
              <a14:compatExt xmlns:a14="http://schemas.microsoft.com/office/drawing/2010/main" spid="_x0000_s1025"/>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233136</xdr:colOff>
      <xdr:row>0</xdr:row>
      <xdr:rowOff>0</xdr:rowOff>
    </xdr:from>
    <xdr:ext cx="765313" cy="190994"/>
    <xdr:sp macro="" textlink="">
      <xdr:nvSpPr>
        <xdr:cNvPr id="1780" name="Control 2" hidden="1">
          <a:extLst>
            <a:ext uri="{63B3BB69-23CF-44E3-9099-C40C66FF867C}">
              <a14:compatExt xmlns:a14="http://schemas.microsoft.com/office/drawing/2010/main" spid="_x0000_s1026"/>
            </a:ext>
          </a:extLst>
        </xdr:cNvPr>
        <xdr:cNvSpPr/>
      </xdr:nvSpPr>
      <xdr:spPr bwMode="auto">
        <a:xfrm>
          <a:off x="7853136" y="0"/>
          <a:ext cx="765313" cy="190994"/>
        </a:xfrm>
        <a:prstGeom prst="rect">
          <a:avLst/>
        </a:prstGeom>
        <a:noFill/>
        <a:ln w="9525">
          <a:miter lim="800000"/>
          <a:headEnd/>
          <a:tailEnd/>
        </a:ln>
      </xdr:spPr>
    </xdr:sp>
    <xdr:clientData/>
  </xdr:oneCellAnchor>
  <xdr:oneCellAnchor>
    <xdr:from>
      <xdr:col>11</xdr:col>
      <xdr:colOff>347436</xdr:colOff>
      <xdr:row>0</xdr:row>
      <xdr:rowOff>0</xdr:rowOff>
    </xdr:from>
    <xdr:ext cx="765313" cy="190994"/>
    <xdr:sp macro="" textlink="">
      <xdr:nvSpPr>
        <xdr:cNvPr id="1781" name="Control 3" hidden="1">
          <a:extLst>
            <a:ext uri="{63B3BB69-23CF-44E3-9099-C40C66FF867C}">
              <a14:compatExt xmlns:a14="http://schemas.microsoft.com/office/drawing/2010/main" spid="_x0000_s1027"/>
            </a:ext>
          </a:extLst>
        </xdr:cNvPr>
        <xdr:cNvSpPr/>
      </xdr:nvSpPr>
      <xdr:spPr bwMode="auto">
        <a:xfrm>
          <a:off x="7967436" y="0"/>
          <a:ext cx="765313" cy="190994"/>
        </a:xfrm>
        <a:prstGeom prst="rect">
          <a:avLst/>
        </a:prstGeom>
        <a:noFill/>
        <a:ln w="9525">
          <a:miter lim="800000"/>
          <a:headEnd/>
          <a:tailEnd/>
        </a:ln>
      </xdr:spPr>
    </xdr:sp>
    <xdr:clientData/>
  </xdr:oneCellAnchor>
  <xdr:oneCellAnchor>
    <xdr:from>
      <xdr:col>11</xdr:col>
      <xdr:colOff>228600</xdr:colOff>
      <xdr:row>0</xdr:row>
      <xdr:rowOff>0</xdr:rowOff>
    </xdr:from>
    <xdr:ext cx="765313" cy="193262"/>
    <xdr:pic>
      <xdr:nvPicPr>
        <xdr:cNvPr id="1782" name="Picture 1" hidden="1"/>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228600</xdr:colOff>
      <xdr:row>0</xdr:row>
      <xdr:rowOff>0</xdr:rowOff>
    </xdr:from>
    <xdr:ext cx="765313" cy="193262"/>
    <xdr:pic>
      <xdr:nvPicPr>
        <xdr:cNvPr id="1783" name="Picture 2" hidden="1"/>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848600" y="0"/>
          <a:ext cx="765313" cy="193262"/>
        </a:xfrm>
        <a:prstGeom prst="rect">
          <a:avLst/>
        </a:prstGeom>
        <a:noFill/>
        <a:ln w="9525">
          <a:miter lim="800000"/>
          <a:headEnd/>
          <a:tailEnd/>
        </a:ln>
      </xdr:spPr>
    </xdr:pic>
    <xdr:clientData/>
  </xdr:oneCellAnchor>
  <xdr:oneCellAnchor>
    <xdr:from>
      <xdr:col>11</xdr:col>
      <xdr:colOff>342900</xdr:colOff>
      <xdr:row>0</xdr:row>
      <xdr:rowOff>0</xdr:rowOff>
    </xdr:from>
    <xdr:ext cx="765313" cy="193262"/>
    <xdr:pic>
      <xdr:nvPicPr>
        <xdr:cNvPr id="1784" name="Picture 3" hidden="1"/>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62900" y="0"/>
          <a:ext cx="765313" cy="193262"/>
        </a:xfrm>
        <a:prstGeom prst="rect">
          <a:avLst/>
        </a:prstGeom>
        <a:noFill/>
        <a:ln w="9525">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twoCellAnchor>
    <xdr:from>
      <xdr:col>6</xdr:col>
      <xdr:colOff>0</xdr:colOff>
      <xdr:row>87</xdr:row>
      <xdr:rowOff>128587</xdr:rowOff>
    </xdr:from>
    <xdr:to>
      <xdr:col>13</xdr:col>
      <xdr:colOff>0</xdr:colOff>
      <xdr:row>102</xdr:row>
      <xdr:rowOff>14287</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390525</xdr:colOff>
      <xdr:row>4</xdr:row>
      <xdr:rowOff>171450</xdr:rowOff>
    </xdr:from>
    <xdr:to>
      <xdr:col>14</xdr:col>
      <xdr:colOff>581025</xdr:colOff>
      <xdr:row>20</xdr:row>
      <xdr:rowOff>157162</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457200</xdr:colOff>
      <xdr:row>40</xdr:row>
      <xdr:rowOff>23812</xdr:rowOff>
    </xdr:from>
    <xdr:to>
      <xdr:col>11</xdr:col>
      <xdr:colOff>104775</xdr:colOff>
      <xdr:row>54</xdr:row>
      <xdr:rowOff>71437</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533400</xdr:colOff>
      <xdr:row>160</xdr:row>
      <xdr:rowOff>109537</xdr:rowOff>
    </xdr:from>
    <xdr:to>
      <xdr:col>12</xdr:col>
      <xdr:colOff>361950</xdr:colOff>
      <xdr:row>176</xdr:row>
      <xdr:rowOff>128587</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761999</xdr:colOff>
      <xdr:row>190</xdr:row>
      <xdr:rowOff>128587</xdr:rowOff>
    </xdr:from>
    <xdr:to>
      <xdr:col>13</xdr:col>
      <xdr:colOff>380999</xdr:colOff>
      <xdr:row>204</xdr:row>
      <xdr:rowOff>176212</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adtvfile01\bd%20sdqs\BASES%20DE%20DATOS\Vigencia%202016\REQUERIMIENTOS%20%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ERIMIENTOS 2016"/>
      <sheetName val="REQUERIMIENTOS (IAS) 2016"/>
      <sheetName val="DIAS LABORALES"/>
    </sheetNames>
    <sheetDataSet>
      <sheetData sheetId="0"/>
      <sheetData sheetId="1"/>
      <sheetData sheetId="2">
        <row r="1">
          <cell r="A1">
            <v>42370</v>
          </cell>
        </row>
        <row r="2">
          <cell r="A2">
            <v>42380</v>
          </cell>
        </row>
        <row r="3">
          <cell r="A3">
            <v>42450</v>
          </cell>
        </row>
        <row r="4">
          <cell r="A4">
            <v>42453</v>
          </cell>
        </row>
        <row r="5">
          <cell r="A5">
            <v>42454</v>
          </cell>
        </row>
        <row r="6">
          <cell r="A6">
            <v>42499</v>
          </cell>
        </row>
        <row r="7">
          <cell r="A7">
            <v>42520</v>
          </cell>
        </row>
        <row r="8">
          <cell r="A8">
            <v>42527</v>
          </cell>
        </row>
        <row r="9">
          <cell r="A9">
            <v>42555</v>
          </cell>
        </row>
        <row r="10">
          <cell r="A10">
            <v>42571</v>
          </cell>
        </row>
        <row r="11">
          <cell r="A11">
            <v>42597</v>
          </cell>
        </row>
        <row r="12">
          <cell r="A12">
            <v>42660</v>
          </cell>
        </row>
        <row r="13">
          <cell r="A13">
            <v>42681</v>
          </cell>
        </row>
        <row r="14">
          <cell r="A14">
            <v>42688</v>
          </cell>
        </row>
        <row r="15">
          <cell r="A15">
            <v>42712</v>
          </cell>
        </row>
        <row r="16">
          <cell r="A16">
            <v>42741</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BlancaA" refreshedDate="42474.618172685186" createdVersion="5" refreshedVersion="5" minRefreshableVersion="3" recordCount="104">
  <cacheSource type="worksheet">
    <worksheetSource ref="A5:R109" sheet="REQUERIMIENTOS 2016"/>
  </cacheSource>
  <cacheFields count="18">
    <cacheField name="Q" numFmtId="0">
      <sharedItems containsSemiMixedTypes="0" containsString="0" containsNumber="1" containsInteger="1" minValue="1" maxValue="104"/>
    </cacheField>
    <cacheField name="MENSUAL" numFmtId="0">
      <sharedItems containsSemiMixedTypes="0" containsString="0" containsNumber="1" containsInteger="1" minValue="1" maxValue="36"/>
    </cacheField>
    <cacheField name="TIPO REQ." numFmtId="0">
      <sharedItems count="8">
        <s v="PETICIÓN INTERÉS GENERAL"/>
        <s v="PETICIÓN INTERÉS PARTICULAR"/>
        <s v="SOLICITUD DE COPIA"/>
        <s v="QUEJA"/>
        <s v="SOLICITUD DE INFORMACIÓN"/>
        <s v="RECLAMO"/>
        <s v="SUGERENCIA"/>
        <s v="FELICITACIÓN"/>
      </sharedItems>
    </cacheField>
    <cacheField name="NO. REQ." numFmtId="0">
      <sharedItems containsSemiMixedTypes="0" containsString="0" containsNumber="1" containsInteger="1" minValue="13202016" maxValue="518872016"/>
    </cacheField>
    <cacheField name="ESTADO REQ" numFmtId="0">
      <sharedItems/>
    </cacheField>
    <cacheField name="RADICADO IDIPRON" numFmtId="0">
      <sharedItems/>
    </cacheField>
    <cacheField name="FECHA INGRESO REQ" numFmtId="15">
      <sharedItems containsSemiMixedTypes="0" containsNonDate="0" containsDate="1" containsString="0" minDate="2016-01-06T00:00:00" maxDate="2016-03-30T00:00:00" count="36">
        <d v="2016-01-06T00:00:00"/>
        <d v="2016-01-07T00:00:00"/>
        <d v="2016-01-08T00:00:00"/>
        <d v="2016-01-12T00:00:00"/>
        <d v="2016-01-15T00:00:00"/>
        <d v="2016-01-18T00:00:00"/>
        <d v="2016-01-22T00:00:00"/>
        <d v="2016-01-25T00:00:00"/>
        <d v="2016-01-26T00:00:00"/>
        <d v="2016-01-27T00:00:00"/>
        <d v="2016-01-29T00:00:00"/>
        <d v="2016-02-01T00:00:00"/>
        <d v="2016-02-02T00:00:00"/>
        <d v="2016-02-03T00:00:00"/>
        <d v="2016-02-04T00:00:00"/>
        <d v="2016-02-05T00:00:00"/>
        <d v="2016-02-09T00:00:00"/>
        <d v="2016-02-10T00:00:00"/>
        <d v="2016-02-12T00:00:00"/>
        <d v="2016-02-16T00:00:00"/>
        <d v="2016-02-18T00:00:00"/>
        <d v="2016-02-19T00:00:00"/>
        <d v="2016-02-23T00:00:00"/>
        <d v="2016-02-24T00:00:00"/>
        <d v="2016-02-26T00:00:00"/>
        <d v="2016-03-01T00:00:00"/>
        <d v="2016-03-03T00:00:00"/>
        <d v="2016-03-07T00:00:00"/>
        <d v="2016-03-08T00:00:00"/>
        <d v="2016-03-11T00:00:00"/>
        <d v="2016-03-15T00:00:00"/>
        <d v="2016-03-16T00:00:00"/>
        <d v="2016-03-18T00:00:00"/>
        <d v="2016-03-22T00:00:00"/>
        <d v="2016-03-23T00:00:00"/>
        <d v="2016-03-29T00:00:00"/>
      </sharedItems>
      <fieldGroup base="6">
        <rangePr groupBy="months" startDate="2016-01-06T00:00:00" endDate="2016-03-30T00:00:00"/>
        <groupItems count="14">
          <s v="&lt;06/01/2016"/>
          <s v="ene"/>
          <s v="feb"/>
          <s v="mar"/>
          <s v="abr"/>
          <s v="may"/>
          <s v="jun"/>
          <s v="jul"/>
          <s v="ago"/>
          <s v="sep"/>
          <s v="oct"/>
          <s v="nov"/>
          <s v="dic"/>
          <s v="&gt;30/03/2016"/>
        </groupItems>
      </fieldGroup>
    </cacheField>
    <cacheField name="FECHA DE VENCIMIENTO" numFmtId="15">
      <sharedItems containsSemiMixedTypes="0" containsNonDate="0" containsDate="1" containsString="0" minDate="2016-01-26T00:00:00" maxDate="2016-04-20T00:00:00"/>
    </cacheField>
    <cacheField name="FECHA DE RESPUESTA" numFmtId="15">
      <sharedItems containsNonDate="0" containsDate="1" containsString="0" containsBlank="1" minDate="2016-01-14T00:00:00" maxDate="2016-04-13T00:00:00"/>
    </cacheField>
    <cacheField name="NOMBRE" numFmtId="15">
      <sharedItems/>
    </cacheField>
    <cacheField name="ASUNTO REQUERIMIENTO" numFmtId="0">
      <sharedItems longText="1"/>
    </cacheField>
    <cacheField name="TIPIFICACION SERVICIOS" numFmtId="0">
      <sharedItems count="9">
        <s v="TEMAS ADMINISTRATIVOS"/>
        <s v="TEMAS MISIONALES UPIS"/>
        <s v="JÓVENES EN PAZ"/>
        <s v="AGRADECIMIENTOS"/>
        <s v="AGRADECIMIENTO POR SERVICIOS PRESTADOS"/>
        <s v="FUNCIONARIO Y/O TRABAJADOR PUBLICO"/>
        <s v="TEMAS ADMINISTRATIVOS CONVENIOS"/>
        <s v="SOLICITUD DE INTERVENCION"/>
        <s v="ALIMENTACIÓN"/>
      </sharedItems>
    </cacheField>
    <cacheField name="CLASIFICADO A" numFmtId="0">
      <sharedItems count="9">
        <s v="SUBMETODOS"/>
        <s v="PLANEACION"/>
        <s v="COMEDORES"/>
        <s v="JURIDICA"/>
        <s v="SUBFINANCIERA"/>
        <s v="DESARROLLO HUMANO"/>
        <s v="MISION BOGOTA"/>
        <s v="DIRECCION"/>
        <s v="BAÑOS PUBLICOS"/>
      </sharedItems>
    </cacheField>
    <cacheField name="CANAL" numFmtId="0">
      <sharedItems/>
    </cacheField>
    <cacheField name="RESPUESTA" numFmtId="0">
      <sharedItems containsBlank="1"/>
    </cacheField>
    <cacheField name="ASUNTO 2" numFmtId="0">
      <sharedItems/>
    </cacheField>
    <cacheField name="CUENTA DIAS" numFmtId="1">
      <sharedItems containsSemiMixedTypes="0" containsString="0" containsNumber="1" containsInteger="1" minValue="-30323" maxValue="18"/>
    </cacheField>
    <cacheField name="RANGOS DE CONTESTACION" numFmtId="0">
      <sharedItems count="3">
        <s v="Dentro de terminos"/>
        <s v="Fuera de terminos"/>
        <s v="En Tramite"/>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4">
  <r>
    <n v="1"/>
    <n v="1"/>
    <x v="0"/>
    <n v="13202016"/>
    <s v="Atendido"/>
    <s v="N/A"/>
    <x v="0"/>
    <d v="2016-01-28T00:00:00"/>
    <d v="2016-01-21T00:00:00"/>
    <s v="CAROLINA BARAHONA GOMEZ"/>
    <s v="BUEN DIA, TENIENDO EN CUENTA LA CAMPAÑA QUE LIDERAN &quot;JOVENES DE PAZ&quot; SOLICITO POR FAVOR SE REALICE O UNA CONVOCATORIA O UNA ESTRATEGIA DE VINCULACION A LOS JOVENES QUE MAS LO NECESITAN EN ZONAS MAS APARTADAS Y DIFICILES TALES QUE PUEDAN VINCULAR A LOS JOVENES DE LOS BARRIOS PARAISO, VILLA GLORIA Y JUAN PABLO II DE CIUDAD BOLIVAR, EN ESTOS BARRIOS LOS MAS ALEJADOS GEOGRAFICAMENTE DE LA CIUDAD Y CON UN ALTO INDICE DE JOVENES DESOCUPADOS, AGRADEZCO SE HACERQUEN A LA ZONA PARA EVIDENCIAR LAS DIFICULTADES Y SE REALICE UNA INTERVENCION PARA LLAMAR ESTOS JOVENES A TENER ALGUNA OPORTUNIDAD YA SEA DE TRABAJO O DE EDUCACION, POR FAVOR REALIZAR ALGUN PROGRAMA DIRECTAMENTE EN LOS BARRIOS YA QUE MUCHOS DE ESTOS JOVENES EN LA POBRESA Y SEGREGACION ABSOLUTA NO CUENTAN CON ACCESO A MEDIOS DE COMUNICACION QUE LES PERMITA CONOCER Y ACCEDER A SUS PROYECTOS. HAGO UN LLAMADO PARA QUE SE HACERQUEN A LOS BARRIOS Y AYUDEN A ESTOS JOVENES A TENER UN FUTURO MEJOR, MUCHOS DE ESTOA SON MUY MUY POBRES . CORDIAL SALUDO."/>
    <x v="0"/>
    <x v="0"/>
    <s v="WEB"/>
    <s v="OFICIO 2016EE195 DE FECHA 21 ENERO./2016"/>
    <s v="SUB"/>
    <n v="10"/>
    <x v="0"/>
  </r>
  <r>
    <n v="2"/>
    <n v="2"/>
    <x v="1"/>
    <n v="19192016"/>
    <s v="Atendido"/>
    <s v="N/A"/>
    <x v="1"/>
    <d v="2016-01-29T00:00:00"/>
    <d v="2016-01-15T00:00:00"/>
    <s v="ALBERTO CONTRERAS"/>
    <s v="SOLICITUD DE INTERVENCIÓN ANTE LA SECRETARIA DISTRITAL DE PLANEACION PARA PUBLICAR EN PAGINA PLAN DE ACCIÓN 2015"/>
    <x v="0"/>
    <x v="1"/>
    <s v="WEB"/>
    <s v="OFICIO 2016EE115 DE FECHA 15 ENERO./2016"/>
    <s v="PLA"/>
    <n v="5"/>
    <x v="0"/>
  </r>
  <r>
    <n v="3"/>
    <n v="3"/>
    <x v="0"/>
    <n v="20642016"/>
    <s v="Atendido"/>
    <s v="N/A"/>
    <x v="1"/>
    <d v="2016-01-29T00:00:00"/>
    <d v="2016-01-21T00:00:00"/>
    <s v="CAROLINA BARAHONA GOMEZ"/>
    <s v="BUEN DIA, EN EL BARRIO JUAN PABLO II CIUDAD BOLIVAR HAY MUCHOS ANCIANOS EN ESTADO DE ABANDONO, QUE VIVEN RECOGIENDO ENTRE LA BASURA ALIMENTOS O COSAS PARA VENDER COMO RECICLAJE, SOLICITO POR FAVOR; 1. QUE REGRESEN LOS COMEDORES ALMENOS PARA ELLOS Y 2. QUE LAS AYUDAS PARA LOS MAS NECESITADOS LLEGUEN A LOS ANCIANOS Y NIÑOS DE JUAN PABLO II , EL BARRIO ACTUALMENTE UN MONUMENTO AL ABANDONO, DESCUIDO Y OLVIDO DE TODAS LAS ENTIDADES, TAMBIEN ES LA PRIMER ESTACION DEL METROCABLE ACTUALMENTE EN CONSTRUCCION, QUEREMOS QUE ESTO CAMBIE SOLICITO POR FAVOR A LAS ENTIDADES QUE CORRESPONDA SE HACERQUEN AL BARRIO Y EVIDENCIEN POR SI MISMOS LA SITUACION DE ANCIANOS Y NIÑOS QUE REQUIEREN AL MENOS EL COMEDOR COMUNITARIO ENTRE OTROS SUBSIDIOS O AYUDAS QUE PUEDAN MEJORAR SU CALIDAD DE VIDA. POR FAVOR COPIE LA RESPUESTA A LA ENTIDAD QUE CORRESPONDA SI NO ES DE SU COMPETENCIA."/>
    <x v="0"/>
    <x v="2"/>
    <s v="WEB"/>
    <s v="OFICIO 2016EE190 DE FECHA 21 ENERO./2016"/>
    <s v="COM"/>
    <n v="9"/>
    <x v="0"/>
  </r>
  <r>
    <n v="4"/>
    <n v="4"/>
    <x v="0"/>
    <n v="20872016"/>
    <s v="Atendido"/>
    <s v="N/A"/>
    <x v="1"/>
    <d v="2016-01-29T00:00:00"/>
    <d v="2016-01-21T00:00:00"/>
    <s v="CAROLINA BARAHONA GOMEZ"/>
    <s v="BUEN DIA, EN EL BARRIO JUAN PABLO II CIUDAD BOLIVAR HAY MUCHOS JOVENES DESEMPLEDOS, EN PLENA ETAPA PRODUCTIVA, SIN OPORTUNIDADES Y CON ESCASOS RECURSOS HASTA PARA PASAR UNA HOJA DE VIDA, AGRADEZCO A QUIEN CORREPONDAN SE HACERQUEN AL BARRIO Y ESTOS JOVENES SEAN INSCRITOS EN ALGUN PROGRAMA QUE LOS AYUDE A VER LA VIDA CON OTROS OJOS, LES SOLICITO POR FAVOR QUE SE HECERQUEN AL BARRIO PARA AYUDAR A ESTOS JOVENES CON EMPLEO Y OPORTUNIDADES DE ESTUDIO QUE LOS PUEDA LLEVAR A MEJORAR SU CALIDAD DE VIDA Y SU FUTURO. SI NO ES DE SU COMPETENCIA POR FAVOR COPIE A QUIEN CORREPONDA, JUAN PABLO II HA ESTADO POR MAS DE 30 AÑOS EN EL OLVIDO Y ABANDONO, LAS AYUDAS A LOS MAS NECESITADOS NUNCA HAN LLEGADO AL BARRIO, YA ES HORA DE QUE LLEGUEN , EL BARRIO ES ACTUALMENTE LA PRIMERA ESTACION DE METROCABLE EN CONSTRUCCION, Y ES EVIDENTE SU TOTAL Y ABSOLUTO ABANDONO POR PARTE DE TODAS LAS ENTIDADES ESTO SERA EVIDENTE UNA VEZ ESTE EN FUNCIONAMIENTO EL METROCABLE. AGRADEZCO QUE JUAN PABLO II SEA INCLUIDO EN LOS PROGRAMAS, AYUDAS, Y SUBCIDIOS, DE TRABAJO Y ESTUDIO EN ESPECIAL PARA LOS JOVENES , QUE DE ALGUNA MANERA LOS JOVENES DEL BARRIO SE VEAN VENEFICIADOS CON LA CONSTRUCCION DEL METRO CABLE, Y EN GENERAL TODO PROGRAMA YA QUE NUNCA POR MAS DE 30 AÑOS HA LLEGADO UNA AYUDA QUE BENEFICIE A SUS HABITANTES DENTRO DE LOS PROYECTOS Y PROGRAMAS PARA LOS MAS NECESITADOS"/>
    <x v="0"/>
    <x v="0"/>
    <s v="WEB"/>
    <s v="OFICIO 2016EE196 DE FECHA 21 ENERO./2016"/>
    <s v="SUB"/>
    <n v="9"/>
    <x v="0"/>
  </r>
  <r>
    <n v="5"/>
    <n v="5"/>
    <x v="1"/>
    <n v="30432016"/>
    <s v="Atendido"/>
    <s v="YAG001"/>
    <x v="2"/>
    <d v="2016-02-01T00:00:00"/>
    <d v="2016-01-25T00:00:00"/>
    <s v="LENNYS ALEXANDRA MENDEZ ROMERO "/>
    <s v="INTERPONE REQUERIMIENTO SOLICITANDO INFORMACION RELACIONDA CON EL FALLO  DE LA CORTE CONSTITUCIONAL  EN AL AÑO 2011. "/>
    <x v="0"/>
    <x v="3"/>
    <s v="ESCRITO"/>
    <s v="OFICIO 2016EE231 DE FECHA 25 ENERO./2016"/>
    <s v="JUR"/>
    <n v="10"/>
    <x v="0"/>
  </r>
  <r>
    <n v="6"/>
    <n v="6"/>
    <x v="1"/>
    <n v="26952016"/>
    <s v="Atendido"/>
    <s v="N/A"/>
    <x v="2"/>
    <d v="2016-02-01T00:00:00"/>
    <d v="2016-01-21T00:00:00"/>
    <s v="DIANA MATEUS"/>
    <s v="MUY BUENOS DÍAS. QUISIERA SABER COMO FUNCIONA EL PROGRAMA DE DESINTOXICACIÓN PARA LAS PERSONAS QUE QUIEREN SALIR DE LAS DROGAS. EN PERSONAS JÓVENES."/>
    <x v="1"/>
    <x v="0"/>
    <s v="WEB"/>
    <s v="OFICIO 2016EE198 DE FECHA 21 ENERO./2016"/>
    <s v="SUB"/>
    <n v="8"/>
    <x v="0"/>
  </r>
  <r>
    <n v="7"/>
    <n v="7"/>
    <x v="1"/>
    <n v="41642016"/>
    <s v="Atendido"/>
    <s v="YAG002"/>
    <x v="3"/>
    <d v="2016-02-02T00:00:00"/>
    <d v="2016-01-14T00:00:00"/>
    <s v="MIGUEL ÁNGEL CUEVAS CUEVAS"/>
    <s v="presenta derecho de petición solicitando fotocopia del acta de liquidación."/>
    <x v="0"/>
    <x v="3"/>
    <s v="ESCRITO"/>
    <s v="OFICIO 2016EE103 DE FECHA 14 ENERO./2016"/>
    <s v="JUR"/>
    <n v="2"/>
    <x v="0"/>
  </r>
  <r>
    <n v="8"/>
    <n v="8"/>
    <x v="2"/>
    <n v="41672016"/>
    <s v="Atendido"/>
    <s v="YAG003"/>
    <x v="3"/>
    <d v="2016-01-26T00:00:00"/>
    <d v="2016-01-27T00:00:00"/>
    <s v="MIGUEL ÁNGEL CUEVAS CUEVAS"/>
    <s v="presenta derecho de petición solicitando certificados de pagos."/>
    <x v="0"/>
    <x v="4"/>
    <s v="ESCRITO"/>
    <s v="OFICIO 2016EE255 DE FECHA 27 ENERO./2016"/>
    <s v="SUB"/>
    <n v="11"/>
    <x v="1"/>
  </r>
  <r>
    <n v="9"/>
    <n v="9"/>
    <x v="1"/>
    <n v="41722016"/>
    <s v="Atendido"/>
    <s v="YAG004"/>
    <x v="3"/>
    <d v="2016-02-02T00:00:00"/>
    <d v="2016-01-20T00:00:00"/>
    <s v="MIGUEL ÁNGEL CUEVAS CUEVAS"/>
    <s v="presenta derecho de petición solicitando fotocopia del acto administrativo."/>
    <x v="0"/>
    <x v="5"/>
    <s v="ESCRITO"/>
    <s v="OFICIO 2016EE173 DE FECHA 20 ENERO./2016"/>
    <s v="DES"/>
    <n v="6"/>
    <x v="0"/>
  </r>
  <r>
    <n v="10"/>
    <n v="10"/>
    <x v="3"/>
    <n v="41772016"/>
    <s v="Atendido"/>
    <s v="YAG005"/>
    <x v="3"/>
    <d v="2016-02-02T00:00:00"/>
    <d v="2016-01-26T00:00:00"/>
    <s v="JORDY STEVEN GUTIÉRREZ BAUTISTA"/>
    <s v="presenta queja sobre estudiantes del programa jóvenes en paz."/>
    <x v="2"/>
    <x v="0"/>
    <s v="ESCRITO"/>
    <s v="OFICIO 2016EE242 DE FECHA 26 ENERO./2016"/>
    <s v="SUB"/>
    <n v="10"/>
    <x v="0"/>
  </r>
  <r>
    <n v="11"/>
    <n v="11"/>
    <x v="4"/>
    <n v="46242016"/>
    <s v="Atendido"/>
    <s v="N/A"/>
    <x v="4"/>
    <d v="2016-01-29T00:00:00"/>
    <d v="2016-01-28T00:00:00"/>
    <s v="ALBERTO CONTRERAS"/>
    <s v="PROCEDENTE DE LA RED DE VEEDURIAS SE RECIBE COPIA DE CORRE ELECTRONICO, CON LA SIGUIENTE SOLICITUD: SEÑORES ALCALDIA MAYOR SOLICITAMOS CONOCER EL INFORME DE CONTROL INTERNO, DE LA ALCALDIA MAYOR Y L SECRETARIA DE GOBIERNO- SOBRE 1) CONVENIOS INTERADMINISTRATIVOS 2) CONVENIOS DE ASOCIACION 3) TODOS LOS CONTRATOS QUE FIRMO LA OFICINA DEL ALTO CONSEJERO DE TICS, DURANTE LOS ULTIMOS 4 AÑOS, NOMBRES DE LOS CONTRATISTAS, INTERVENTORES Y SUPERVISORES, Y SUS CORREOS ELECTRONICOS 4)- ES NECESARIO, CONOCER COMO SERA EL PLAN DE AUSTERIDAD DEL GASTO DEL 40% QUE ANUNCIO EL ALCALDE PEÑALOZA, ASPECTO QUE FELICITAMOS Y RESPALDAMOS 5) CUANTOS CURSOS, DIPLOMADOS, CONFERENCIAS, CAPACITACIONES SOBRE LAS NORMAS ANTICORRUPCION, LOS RIESGOS DE LOS CONVENIOS DE ASOCIACION Y CONVENIOS INTERADMINISTRATIVOS , LOS DELITOS CONTRA LA ADMINISTRACIÒN PÙBLICA, , LA ETICA DE LO PUBLICO, EL CONTROL AL ENRIQUECIMIENTO ILICITO DE FUNCIONARIOS PUBLICOS, , EL INCREMENTO PATRIMONIAL INJUSTIFICADOS , SE REALIZARON DURANTE LOS ULTIMOS 4 AÑOS, EN CUMPLIMIENTO DEL EJE DEL PLAN DE DESARROLLO DE DEFENSA DE LO PUBLICO; Y CULTURA ANTICORRUPCION FAVOR DETALLAR LA RESPUESTA POR CADA ENTIDAD DEL DISTRITO, Y EMPRESAS INDUSTRIALES Y COMERCIALES, COMO LA EMPRESA DE ENERGIA EAAB ETB. RELACIONANDO LA ENTIDAD CONTRATADA; PARA DICHA CAPACITACIÒN ANTICORRUPCION, INCLUYENDO LOS CONVENIOS CON PNUD, OFICINA CONTRA LA DROGA Y EL DELITO, ONU RELACIONANDO EL NOMBRE DEL CAPACITADOR, FACILITADOR, EXPERTO ANTICORRUPCION, UNIVERSIDAD, ONG., QUE DICTARON LAS CONFERENCIAS, TALLERES, DIPLOMADOS, ETC. CORDIALMENTE ALBERTO CONTRERAS"/>
    <x v="0"/>
    <x v="1"/>
    <s v="WEB"/>
    <s v="OFICIO 2016EE279 DE FECHA 28 ENERO./2016"/>
    <s v="PLA"/>
    <n v="9"/>
    <x v="0"/>
  </r>
  <r>
    <n v="12"/>
    <n v="12"/>
    <x v="4"/>
    <n v="48272016"/>
    <s v="Atendido"/>
    <s v="N/A"/>
    <x v="4"/>
    <d v="2016-01-29T00:00:00"/>
    <d v="2016-01-28T00:00:00"/>
    <s v="ALBERTO CONTRERAS"/>
    <s v="EL SEÑOR ALBERTO CONTRERAS EN CALIDAD DE VEEDOR CIUDADANO, MEDIANTE OFICIO RADICADO EN LA SECRETARIA GENERAL SOLICITA:1)EL LISTADO DE TODOS LOS RESPONSABLES DE LAS OFICINAS DE CONTROL INTERNO DE TODAS LAS ENTIDADES DISTRITALES. 2) EL ENVÍO DE LA RELACIÓN DE COSTOS DEL DIRECTOS E INDIRECTOS DE TODAS LAS OFICINAS DE CONTROL INTERNO DEL DISTRITO, DISCRIMINANDO EL COSTO DE LOS CONTRATISTAS ASIGNADOS A OFICINA DE CONTROL INTERNO. 3) CONOCER EL COSTO DE LA PERSONERÍA, CONTRALORIA Y VEEDURIA DISTRITAL DURANTE LOS ÚLTIMOS 4 AÑOS. 4) INDICAR EL COSTO DE LA PROCURADURIA 1 Y 2 DISTRITALES Y DE LA PROCURADURIA DELEGADA DE CUNDINAMARCA."/>
    <x v="0"/>
    <x v="1"/>
    <s v="WEB"/>
    <s v="OFICIO 2016EE268 DE FECHA 28 ENERO./2016"/>
    <s v="PLA"/>
    <n v="9"/>
    <x v="0"/>
  </r>
  <r>
    <n v="13"/>
    <n v="13"/>
    <x v="4"/>
    <n v="50852016"/>
    <s v="Atendido"/>
    <s v="YAG006"/>
    <x v="4"/>
    <d v="2016-01-29T00:00:00"/>
    <d v="2016-01-20T00:00:00"/>
    <s v="JAIRO URREA"/>
    <s v="muy buenas noches les escribo estas líneas para solicitarles por favor me regalen una razón sobre que va a pasar con nosotros los guías de misión Bogotá que nos encontramos inquietos sobre nuestro futuro por el cambio de administración y pedirles que por favor nos separen de los mal llamados &quot;jóvenes en paz&quot; gracias por su atención"/>
    <x v="0"/>
    <x v="6"/>
    <s v="WEB"/>
    <s v="OFICIO 2016EE177 DE FECHA 20 ENERO./2016"/>
    <s v="MIS"/>
    <n v="3"/>
    <x v="0"/>
  </r>
  <r>
    <n v="14"/>
    <n v="14"/>
    <x v="1"/>
    <n v="53322016"/>
    <s v="Atendido"/>
    <s v="YAG007"/>
    <x v="4"/>
    <d v="2016-02-05T00:00:00"/>
    <d v="2016-02-04T00:00:00"/>
    <s v="THOMAS SANTIAGO MORA BARRERA"/>
    <s v="Solicita continuar con sus labores y continuar con su formación ya que manifiesta que se le presentaron problemas con compañeros guías."/>
    <x v="0"/>
    <x v="6"/>
    <s v="ESCRITO"/>
    <s v="OFICIO 2016EE336 DE FECHA 4 FEBRERO./2016"/>
    <s v="MIS"/>
    <n v="14"/>
    <x v="0"/>
  </r>
  <r>
    <n v="15"/>
    <n v="15"/>
    <x v="1"/>
    <n v="53382016"/>
    <s v="Atendido"/>
    <s v="YAG008"/>
    <x v="4"/>
    <d v="2016-02-05T00:00:00"/>
    <d v="2016-01-28T00:00:00"/>
    <s v="CARLOS RODOLFO BORJA HERRERA"/>
    <s v="Alcalde de la localidad de Santafé fe remite petición de la señora Jackeline Miranda y el señor Viviana Puentes solicitando algún tipo de oportunidad laboral."/>
    <x v="0"/>
    <x v="0"/>
    <s v="ESCRITO"/>
    <s v="OFICIO 2016EE282 DE FECHA 28 ENERO./2016"/>
    <s v="SUB"/>
    <n v="9"/>
    <x v="0"/>
  </r>
  <r>
    <n v="16"/>
    <n v="16"/>
    <x v="1"/>
    <n v="65712016"/>
    <s v="Atendido"/>
    <s v="2016ER201"/>
    <x v="5"/>
    <d v="2016-02-08T00:00:00"/>
    <d v="2016-01-28T00:00:00"/>
    <s v="JENNY ALEXANDRA ROMERO PULIDO"/>
    <s v="INTERPONE DERECHO DE PETICION  INFORMANDO SITUACIONES DE DISTRIMINACION QUE LA OBLIGARON A DEJAR LOS ESTUDIOS ."/>
    <x v="0"/>
    <x v="0"/>
    <s v="ESCRITO"/>
    <s v="OFICIO 2016EE280 DE FECHA 28 ENERO./2016"/>
    <s v="SUB"/>
    <n v="8"/>
    <x v="0"/>
  </r>
  <r>
    <n v="17"/>
    <n v="17"/>
    <x v="1"/>
    <n v="57372016"/>
    <s v="Atendido"/>
    <s v="N/A"/>
    <x v="5"/>
    <d v="2016-02-08T00:00:00"/>
    <d v="2016-01-29T00:00:00"/>
    <s v="ANÓNIMO"/>
    <s v="CON GUSTO Y SATISFACCION SE NOTA Y SE RESPIRA EN LA SEDE ADMINISTRATIVA DE IDIPRON EL CAMBIO DE GOBIERNO HOY REINA LA EDUCACION EL SALUDO EL BUEN TRATO EL RESPETO LA MOTIVACION PARA CONTINUAR LA LABOR TAN ARDUA Y DE PACIENCIA Y VOCACIONQUE REQUIEREN NUESTROS NINOS NINAS JOVENES ADOLESCDENTES YA NOY HA DICTADURA IRRESPETO VULGARIDADES GRITOS MAL AMBIENTE DISCRIMINACION TODO EL MUNDO HACE SU TRABAJO SIN QUE LO OFENDAN LO HUMILLEN LO PONGAN EN RIDICULO LE INVENTEN FALSEDADES SE ACABO ESE REGIMEN DEL TERROR DONDE NO SE PODIA PENSAR SINO TODO ERA IMPUESTO.GRACIAS SEÑOR PEÑALOZA GRACIAS SEÑOR GRAJALES."/>
    <x v="0"/>
    <x v="7"/>
    <s v="WEB"/>
    <s v="OFICIO 2016EE286 DE FECHA 29 ENERO./2016"/>
    <s v="DIR"/>
    <n v="9"/>
    <x v="0"/>
  </r>
  <r>
    <n v="18"/>
    <n v="18"/>
    <x v="5"/>
    <n v="91962016"/>
    <s v="Atendido"/>
    <s v="YAG009"/>
    <x v="6"/>
    <d v="2016-02-12T00:00:00"/>
    <d v="2016-01-29T00:00:00"/>
    <s v="VIVIANA ORTEGA"/>
    <s v="Usuaria de la UPI ESCNNA presenta reclamo para que sea mas reconocida la unidad."/>
    <x v="1"/>
    <x v="0"/>
    <s v="BUZÓN"/>
    <s v="OFICIO 2016IE671 DE FECHA 29 ENERO./2016"/>
    <s v="SUB"/>
    <n v="5"/>
    <x v="0"/>
  </r>
  <r>
    <n v="19"/>
    <n v="19"/>
    <x v="6"/>
    <n v="92032016"/>
    <s v="Atendido"/>
    <s v="YAG010"/>
    <x v="6"/>
    <d v="2016-02-12T00:00:00"/>
    <d v="2016-01-29T00:00:00"/>
    <s v="LINCY GIL RODRÍGUEZ"/>
    <s v="Usuaria de la UPI ESCNNA sugiere les den mas materiales para hacer manualidades."/>
    <x v="1"/>
    <x v="0"/>
    <s v="BUZÓN"/>
    <s v="OFICIO 2016IE669 DE FECHA 29 ENERO./2016"/>
    <s v="SUB"/>
    <n v="5"/>
    <x v="0"/>
  </r>
  <r>
    <n v="20"/>
    <n v="20"/>
    <x v="6"/>
    <n v="92062016"/>
    <s v="Atendido"/>
    <s v="YAG011"/>
    <x v="6"/>
    <d v="2016-02-12T00:00:00"/>
    <d v="2016-01-29T00:00:00"/>
    <s v="ANGELA BARBOSA Y DIEGO OSPINA"/>
    <s v="Usuarios de la UPI ESCNNA sugieren mas talleres pedagógicos y de manualidades."/>
    <x v="1"/>
    <x v="0"/>
    <s v="BUZÓN"/>
    <s v="OFICIO 2016IE670 DE FECHA 29 ENERO./2016"/>
    <s v="SUB"/>
    <n v="5"/>
    <x v="0"/>
  </r>
  <r>
    <n v="21"/>
    <n v="21"/>
    <x v="6"/>
    <n v="92112016"/>
    <s v="Atendido"/>
    <s v="YAG012"/>
    <x v="6"/>
    <d v="2016-02-12T00:00:00"/>
    <d v="2016-01-29T00:00:00"/>
    <s v="SARITA GALEANO AYALA Y 10 PERSONAS MAS"/>
    <s v="Usuarios de la UPI ESCNNA sugiere algunos arreglos locativos de la unidad principalmente el baño múltiple que no funcionan los lavamanos."/>
    <x v="1"/>
    <x v="0"/>
    <s v="BUZÓN"/>
    <s v="OFICIO 2016IE672 DE FECHA 29 ENERO./2016"/>
    <s v="SUB"/>
    <n v="5"/>
    <x v="0"/>
  </r>
  <r>
    <n v="22"/>
    <n v="22"/>
    <x v="6"/>
    <n v="92192016"/>
    <s v="Atendido"/>
    <s v="YAG013"/>
    <x v="6"/>
    <d v="2016-02-12T00:00:00"/>
    <d v="2016-01-28T00:00:00"/>
    <s v="DIANA PAOLA PULIDO FORERO"/>
    <s v="Usuaria de la UPI LA ARCADIA sugiere una salida a piscilago, que les permitan traer audífonos para escuchar música y que su uniforme sea alusivo a Idipron."/>
    <x v="1"/>
    <x v="0"/>
    <s v="BUZÓN"/>
    <s v="OFICIO 2016IE594 DE FECHA 28 ENERO./2016"/>
    <s v="SUB"/>
    <n v="4"/>
    <x v="0"/>
  </r>
  <r>
    <n v="23"/>
    <n v="23"/>
    <x v="6"/>
    <n v="92212016"/>
    <s v="Atendido"/>
    <s v="YAG014"/>
    <x v="6"/>
    <d v="2016-02-12T00:00:00"/>
    <d v="2016-01-28T00:00:00"/>
    <s v="BLANCA SOYA TORRES"/>
    <s v="Usuaria de la UPI LA ARCADIA sugiere una salida pedagógica, realizar mas deportes y que su uniforme sea alusivo a Idipron."/>
    <x v="1"/>
    <x v="0"/>
    <s v="BUZÓN"/>
    <s v="OFICIO 2016EE595 DE FECHA 28 ENERO./2016"/>
    <s v="SUB"/>
    <n v="4"/>
    <x v="0"/>
  </r>
  <r>
    <n v="24"/>
    <n v="24"/>
    <x v="6"/>
    <n v="92262016"/>
    <s v="Atendido"/>
    <s v="YAG015"/>
    <x v="6"/>
    <d v="2016-02-12T00:00:00"/>
    <d v="2016-01-28T00:00:00"/>
    <s v="LAURA VALENTINA GONZALES LÓPEZ"/>
    <s v="Usuaria de la UPI LA ARCADIA sugiere mas deportes, paseos mas seguidos, salidas al parque con los de la florida y mas fogatas."/>
    <x v="1"/>
    <x v="0"/>
    <s v="BUZÓN"/>
    <s v="OFICIO 2016EE596 DE FECHA 28 ENERO./2016"/>
    <s v="SUB"/>
    <n v="4"/>
    <x v="0"/>
  </r>
  <r>
    <n v="25"/>
    <n v="25"/>
    <x v="7"/>
    <n v="92302016"/>
    <s v="Atendido"/>
    <s v="YAG016"/>
    <x v="6"/>
    <d v="2016-02-12T00:00:00"/>
    <d v="2016-01-22T00:00:00"/>
    <s v="ALEJANDRO BERNAL"/>
    <s v="Usuario del COMEDOR ARBORIZADORA agradece a todos los funcionarios por todas sus labores realizadas durante el año anterior."/>
    <x v="3"/>
    <x v="2"/>
    <s v="BUZÓN"/>
    <s v="OFICIO 2016IE413 DE FECHA 22 ENERO./2016"/>
    <s v="COM"/>
    <n v="0"/>
    <x v="0"/>
  </r>
  <r>
    <n v="26"/>
    <n v="26"/>
    <x v="0"/>
    <n v="57182016"/>
    <s v="Atendido"/>
    <s v="N/A"/>
    <x v="6"/>
    <d v="2016-02-12T00:00:00"/>
    <d v="2016-01-25T00:00:00"/>
    <s v="MAURICIO ANDRES CEPEDA"/>
    <s v="Por medio del presente comunicado, solicito respuesta de preferencia pragmatica, respecto a dos circunstancias que agreden de manifiesto con el debido goce de los derechos humanos y constitucionales dentro del sistema integrado de transporte publico de bogota. Hechos: - Las zonas de parada de los troncales y alimentadores no esta señalizada o se encuentran borrosas e invisibles para los conductores de los buses, lo que de por si no viola algun derecho fundamental, pero que al coincidir con el estado de crisis de algunas personas que no desconocen la fila y/o orden de llegada a la parada, propicia agresiones, &quot;cosquilleos&quot;, estres y en consecuencia la corrupcion de la dignidad humana, la salud y la vida. - Ya culminadas las tareas de proselitismo politico impuestas a los trabajadores distritales del logo bogota humana, acerca del reparto de miles de periodicos. Deben ellos supervisar el respeto en las paradas, como venia haciendose en algunos puntos del sistema, en lugar de aparecer inactivos y permanente reunion dentro de sus horarios de labor, incluso siendo en ocasiones siendo testigos de momentos de caos y estampida a las puertas de los buses del sistema. La persistencia de estos hechos afecta el erario publico, niega el derecho al trabajo a personas con vocacion del servicio y perturba el derecho a la movilidad. Esperando dispensen lo escueto del comunicado y con todo el animo de aportar por el bienestar social tanto de usuarios como de los no usuarios. Atentamente Mauro Andres Cepeda"/>
    <x v="0"/>
    <x v="6"/>
    <s v="WEB"/>
    <s v="OFICIO 2016EE232 DE FECHA 22 ENERO./2016"/>
    <s v="MIS"/>
    <n v="1"/>
    <x v="0"/>
  </r>
  <r>
    <n v="27"/>
    <n v="27"/>
    <x v="0"/>
    <n v="80852016"/>
    <s v="Atendido"/>
    <s v="N/A"/>
    <x v="6"/>
    <d v="2016-02-12T00:00:00"/>
    <d v="2016-01-25T00:00:00"/>
    <s v="GABRIEL RINCON"/>
    <s v="SOLICITUD DE INTERVENCION POR MALA ATENCION A PERSONAS INCAPACITADAS EN TRANSMILENIO"/>
    <x v="0"/>
    <x v="6"/>
    <s v="WEB"/>
    <s v="OFICIO 2016EE230 DE FECHA 22 ENERO./2016"/>
    <s v="MIS"/>
    <n v="1"/>
    <x v="0"/>
  </r>
  <r>
    <n v="28"/>
    <n v="28"/>
    <x v="3"/>
    <n v="102752016"/>
    <s v="Atendido"/>
    <s v="2016ER300"/>
    <x v="7"/>
    <d v="2016-02-15T00:00:00"/>
    <d v="2016-02-12T00:00:00"/>
    <s v="NOHEMI QUINTO HURTADO "/>
    <s v="FUNCIONARIOS  DE UPI FLORIDA  PRESENTAN QUEJA POR MALA CTITUD DEL CONDUCTOR FABIO MOLINA."/>
    <x v="4"/>
    <x v="4"/>
    <s v="ESCRITO"/>
    <s v="OFICIO 2016EE422 DE FECHA 12 FEBRERO./2016"/>
    <s v="SUB"/>
    <n v="14"/>
    <x v="0"/>
  </r>
  <r>
    <n v="29"/>
    <n v="29"/>
    <x v="1"/>
    <n v="116302016"/>
    <s v="Atendido"/>
    <s v="2016ER336"/>
    <x v="8"/>
    <d v="2016-02-16T00:00:00"/>
    <d v="2016-02-18T00:00:00"/>
    <s v="JENNY ALEXANDRA ROMERO PULIDO"/>
    <s v="Interpone derecho de petición solicitando la dejen continuar en el programa del cual la sacaron por deserción."/>
    <x v="0"/>
    <x v="6"/>
    <s v="ESCRITO"/>
    <s v="OFICIO 2016EE494 DE FECHA 18 FEBRERO./2016"/>
    <s v="MIS"/>
    <n v="17"/>
    <x v="1"/>
  </r>
  <r>
    <n v="30"/>
    <n v="30"/>
    <x v="1"/>
    <n v="115682016"/>
    <s v="Atendido"/>
    <s v="2016ER336"/>
    <x v="9"/>
    <d v="2016-02-17T00:00:00"/>
    <d v="2016-02-10T00:00:00"/>
    <s v="CAROLINA BARAHONA GOMEZ"/>
    <s v="BUEN DIA CON RESPECTO A MI SOLICITUD 20892016 &quot; BUEN DIA, EN EL BARRIO JUAN PABLO II CIUDAD BOLIVAR HAY MUCHOS JOVENES DESEMPLEDOS, EN PLENA ETAPA PRODUCTIVA, SIN OPORTUNIDADES Y CON ESCASOS RECURSOS HASTA PARA PASAR UNA HOJA DE VIDA, AGRADEZCO A QUIEN CORREPONDAN SE HACERQUEN AL BARRIO Y ESTOS JOVENES SEAN INSCRITOS EN ALGUN PROGRAMA QUE LOS AYUDE A VER LA VIDA CON OTROS OJOS, LES SOLICITO POR FAVOR QUE SE HECERQUEN AL BARRIO PARA AYUDAR A ESTOS JOVENES CON EMPLEO Y OPORTUNIDADES DE ESTUDIO QUE LOS PUEDA LLEVAR A MEJORAR SU CALIDAD DE VIDA Y SU FUTURO. SI NO ES DE SU COMPETENCIA POR FAVOR COPIE A QUIEN CORREPONDA, JUAN PABLO II HA ESTADO POR MAS DE 30 AÑOS EN EL OLVIDO Y ABANDONO, LAS AYUDAS A LOS MAS NECESITADOS NUNCA HAN LLEGADO AL BARRIO, YA ES HORA DE QUE LLEGUEN , EL BARRIO ES ACTUALMENTE LA PRIMERA ESTACION DE METROCABLE EN CONSTRUCCION, Y ES EVIDENTE SU TOTAL Y ABSOLUTO ABANDONO POR PARTE DE TODAS LAS ENTIDADES ESTO SERA EVIDENTE UNA VEZ ESTE EN FUNCIONAMIENTO EL METROCABLE. AGRADEZCO QUE JUAN PABLO II SEA INCLUIDO EN LOS PROGRAMAS, AYUDAS, Y SUBCIDIOS, DE TRABAJO Y ESTUDIO EN ESPECIAL PARA LOS JOVENES , QUE DE ALGUNA MANERA LOS JOVENES DEL BARRIO SE VEAN VENEFICIADOS CON LA CONSTRUCCION DEL METRO CABLE, Y EN GENERAL TODO PROGRAMA YA QUE NUNCA POR MAS DE 30 AÑOS HA LLEGADO UNA AYUDA QUE BENEFICIE A SUS HABITANTES DENTRO DE LOS PROYECTOS Y PROGRAMAS PARA LOS MAS NECESITADOS. &quot; LA CUAL ES MUY CLARA SOLICITANDO SE HACERQUEN Y VINCULEN DE LOS JOVENES DE LA COMUNIDAD EN LOS PROGRAMAS DE APOYO PARA ESTO. SIN EMBARGO RECIBI UNA CARTA DE RESPUESTA COMPLETAMENTE NEGLIGENTE YA SEA POR QUE QUIEN LEYO TIENE PROBLEMAS DE COMPRENSION DE LECTURA DE PARRAFOS CORTOS, EL CUAL ME RESPONDIO DANDOME INFORMACION , LA CUAL EN NINGUN MOMENTO ESTOY SOLICITANDO Y MENOS PARA MY, HAGO CLARIDAD QUE LA SOLICITUD ES PARA UNA COMUNIDAD COMPLETA NO PARA MI PERSONA UNICAMENTE , POR LO QUE LA RESPUESTA ES NEGLIGENTE Y EN NADA ESTA DIRIGIDA A LA COMUNIDAD NI A PRESENTE NI A FUTURO , DICHA RESPUESTA ADJUNTA NO ES COHERENTE EN NINGUNA FORMA FRENTE A LA SOLICITUD REALIZADA, ES NEGLIGENTE MUY SEGURAMENTE POR QUE QUIEN LEYO MI SOLICITUD TIENE PROBLEMAS DE COMPRESNSION DE LECTURA DE PARRAFOS CORTOS, MUY COMUN HOY EN DIA. POR LO QUE NUEVAMENTE SOLICITO SE INCLUYA A LA COMUNIDAD ( ESTO ES MUUUCHAS PERSONAS) EN LOS PROGRAMAS , PROYECTOS O ACTIVIDADES QUE ENCAMINEN A LOS JOVENES A TENER OPORTUNIDADES, YA SEA ENTREGANDOLES A ELLOS A LA COMUNIDAD LA INFORMACION QUE REQUIEREN EN UNA VISITA O INCLUYENDO A LA COMUNIDAD EN LOS PLANES E INFORMANDOLES A ELOS A LA COMUNIDAD YA SEA POR MEDIO DE VOLANTES INFORMATIVOS, CAMPAÑAS DE PERIFONEO, O CAMPAÑAS DIRECTAS EN EL BARRIO. ESTO PARA TODA LA COMUNIDAD. EN NADA SIRVE ESTA INFORMACION PARA MI, NUNCA PEDI INFORMACION PARA MI , CON LOGICA SENCILLA Y SENTIDO COMUN LA RESPUESTA DADA ES COMPLETAMENTE INCOMPETENTE A LA SOLICITUD REALIZADA. SIN LIGEREZAS POR FAVOR."/>
    <x v="2"/>
    <x v="0"/>
    <s v="ESCRITO"/>
    <s v="OFICIO 2016EE388 DE FECHA 10 FEBRERO./2016"/>
    <s v="SUB"/>
    <n v="10"/>
    <x v="0"/>
  </r>
  <r>
    <n v="31"/>
    <n v="31"/>
    <x v="3"/>
    <n v="47502016"/>
    <s v="Atendido"/>
    <s v="2016ER337"/>
    <x v="9"/>
    <d v="2016-02-17T00:00:00"/>
    <d v="2016-02-11T00:00:00"/>
    <s v="CAROLINA BARAHONA GOMEZ"/>
    <s v="IDIPRON MALA ATENCION DE LA OPERARIA VERONICA MURILLO DE ATENCION DEL SERVICIO DE LOS BAÑOS. LA FALTA DE ATENCION Y DE RESPETO EN EL MOMENTO DE CANCELACION PARA UTILIZAR EL SERVICIO DE UNA FORMA GROSERA DE DIRIGIRSE AL USUARIO Y DE FALTA DE MODALES Y DE RELACIONES INTERPERSONALES. POR FAVOR UNA ATENCION Y UNA CAPACITACION DE SERVICIO AL CLIENTE GRACIAS"/>
    <x v="5"/>
    <x v="8"/>
    <s v="WEB"/>
    <s v="OFICIO 2016EE404 DE FECHA 11 FEBRERO./2016"/>
    <s v="BAÑ"/>
    <n v="11"/>
    <x v="0"/>
  </r>
  <r>
    <n v="32"/>
    <n v="32"/>
    <x v="5"/>
    <n v="130792016"/>
    <s v="Atendido"/>
    <s v="N/A"/>
    <x v="10"/>
    <d v="2016-02-19T00:00:00"/>
    <d v="2016-02-10T00:00:00"/>
    <s v="RUBY QUIJANO"/>
    <s v="PETICION PRESENTADA POR LA SEÑORA RUBY QUIJANO F., PRESIDENTA DE LA JUNTA DE ACCION COMUNAL ALTOS DE EGIPTO (TURBAY AYALA) MEDIANTE LA CUAL SOLICITA UNA CITA CON EL FIN DE REUNIESEN LO MAS PRONTO POSIBLE PARA ENTREGAR INFORMACION PERSONAL SOBRE ESTAS BANDAS DELINCUENCIALES 2016ER508"/>
    <x v="0"/>
    <x v="0"/>
    <s v="WEB"/>
    <s v="OFICIO 2016EE388 DE FECHA 10 FEBRERO./2016"/>
    <s v="SUB"/>
    <n v="8"/>
    <x v="0"/>
  </r>
  <r>
    <n v="33"/>
    <n v="33"/>
    <x v="5"/>
    <n v="144112016"/>
    <s v="Atendido"/>
    <s v="2016ER392"/>
    <x v="10"/>
    <d v="2016-02-19T00:00:00"/>
    <d v="2016-02-10T00:00:00"/>
    <s v="MARY LUZ RUBIO GONZALEZ"/>
    <s v="DE LA DEFENSORIA DL PUEBLO REMITE DEREHO DE PETIICON DEL JOVEN RONALD SEPULVEDA QUE SOLICITA ACLARACION DE MORA ANTE LA EPS. "/>
    <x v="0"/>
    <x v="5"/>
    <s v="ESCRITO"/>
    <s v="OFICIO 2016EE391 DE FECHA 10 FEBRERO./2016"/>
    <s v="DES"/>
    <n v="8"/>
    <x v="0"/>
  </r>
  <r>
    <n v="34"/>
    <n v="34"/>
    <x v="3"/>
    <n v="140432016"/>
    <s v="Atendido"/>
    <s v="YAG017"/>
    <x v="10"/>
    <d v="2016-02-19T00:00:00"/>
    <d v="2016-02-19T00:00:00"/>
    <s v="JOSÉ ALEJANDRO GARCÍA BERNAL"/>
    <s v="presenta queja encontrar del señor Gustavo por la demora en los pagos del convenio de baños públicos."/>
    <x v="5"/>
    <x v="8"/>
    <s v="WEB"/>
    <s v="OFICIO 2016EE517 DE FECHA 19 FEBRERO./2016"/>
    <s v="BAÑ"/>
    <n v="15"/>
    <x v="0"/>
  </r>
  <r>
    <n v="35"/>
    <n v="1"/>
    <x v="0"/>
    <n v="13222016"/>
    <s v="Atendido"/>
    <s v="N/A"/>
    <x v="11"/>
    <d v="2016-02-22T00:00:00"/>
    <d v="2016-02-10T00:00:00"/>
    <s v="CAROLINA BARAHONA GOMEZ"/>
    <s v="BUEN DIA, TENIENDO EN CUENTA LA CAMPAÑA QUE LIDERAN &quot;JOVENES DE PAZ&quot; SOLICITO POR FAVOR SE REALICE O UNA CONVOCATORIA O UNA ESTRATEGIA DE VINCULACION A LOS JOVENES QUE MAS LO NECESITAN EN ZONAS MAS APARTADAS Y DIFICILES TALES QUE PUEDAN VINCULAR A LOS JOVENES DE LOS BARRIOS PARAISO, VILLA GLORIA Y JUAN PABLO II DE CIUDAD BOLIVAR, EN ESTOS BARRIOS LOS MAS ALEJADOS GEOGRAFICAMENTE DE LA CIUDAD Y CON UN ALTO INDICE DE JOVENES DESOCUPADOS, AGRADEZCO SE HACERQUEN A LA ZONA PARA EVIDENCIAR LAS DIFICULTADES Y SE REALICE UNA INTERVENCION PARA LLAMAR ESTOS JOVENES A TENER ALGUNA OPORTUNIDAD YA SEA DE TRABAJO O DE EDUCACION, POR FAVOR REALIZAR ALGUN PROGRAMA DIRECTAMENTE EN LOS BARRIOS YA QUE MUCHOS DE ESTOS JOVENES EN LA POBRESA Y SEGREGACION ABSOLUTA NO CUENTAN CON ACCESO A MEDIOS DE COMUNICACION QUE LES PERMITA CONOCER Y ACCEDER A SUS PROYECTOS. HAGO UN LLAMADO PARA QUE SE HACERQUEN A LOS BARRIOS Y AYUDEN A ESTOS JOVENES A TENER UN FUTURO MEJOR, MUCHOS DE ESTOA SON MUY MUY POBRES . CORDIAL SALUDO"/>
    <x v="0"/>
    <x v="0"/>
    <s v="WEB"/>
    <s v="OFICIO 2016EE388 DE FECHA 10 FEBRERO./2016"/>
    <s v="SUB"/>
    <n v="7"/>
    <x v="0"/>
  </r>
  <r>
    <n v="36"/>
    <n v="2"/>
    <x v="1"/>
    <n v="145612016"/>
    <s v="Atendido"/>
    <s v="N/A"/>
    <x v="11"/>
    <d v="2016-02-22T00:00:00"/>
    <d v="2016-02-25T00:00:00"/>
    <s v="ROCIO CARDENAS"/>
    <s v="EL DIA DE HOY ME ACERQUE A LOS BAÑOS DE IDIPROM QUE QUEDAN CERCA AL SUPERCADE BOSA CON MI HIJA KAREN HERNANDEZ MENOR DE 5 AÑOS EN CONDICION DE DISCAPACIDAD VISUAL IGAUL QUE YO AL LLEGAR ME DI CUENTA QUE EL DINERO SE ME HBIA OLVIDADO EN EL,AUDITORIO QUE QUEDA EN DONDE ESTABA EN UNA REUNION DEL HABITAT AMABLEMENTE LE PEDI A LA FUNCIONARIA MARIBEL QUE SE ENCONTRABA EN TURNO A LAS 3:00PM QUE ME DEJARA INGRESAR CON LA NIÑA QUE YA LE ACERCARA EL DINERO EN REPETIDAS ACCIONES ME DIJO QUE NO EN UNA FORMA GROSERA ME RETIRE HACIA EL AUDITORIO PARA TRAER EL DIENRO EN EL CMINO ME ENCONTRE CON UNA PERSONA QUE AMABLEMENTE ME PRESTO $600 PARA PAGAAR EL SERVICIO DE BAÑO AL HACER EFECTIVO EL PAGO PARA EL INGRESO DE LA NIÑA ME DIJO QUE LA NIÑA TENIA QUE ENTRAR COLA YA QUE HABIA REGISTRADORA Y SI NO TENIA QUE PAAGAR LAS DOS SIN TENER EN CUENTA LAS CONDICIONES VISUALES DE MI HIJA Y LA EDAD, REITERANDO CON ESTO SU CONSIENCIA SOCIAL HACIA LOS MENORES Y PERSONAS CON DISCAPACIDAD FINALMENTE TUVE QUE PAGAR EL INGRESO DE LAS DOS Y ADICIONAL A ESTO A LA SEÑORA NO LE IMPORTO QUE LA NIÑA SE PUSO A LLORAR CUANDO ELLA SE NEGO A QUE YO LA COMPAÑARA"/>
    <x v="0"/>
    <x v="8"/>
    <s v="WEB"/>
    <s v="OFICIO 2016EE566 DE FECHA 25 FEBRERO./2016"/>
    <s v="BAÑ"/>
    <n v="18"/>
    <x v="1"/>
  </r>
  <r>
    <n v="37"/>
    <n v="3"/>
    <x v="3"/>
    <n v="161282016"/>
    <s v="Atendido"/>
    <s v="YAG018"/>
    <x v="12"/>
    <d v="2016-02-23T00:00:00"/>
    <d v="2016-02-19T00:00:00"/>
    <s v="JOAN SEBASTIÁN GONZÁLEZ"/>
    <s v="Joan González presenta queja en contra del funcionario William del archivo ubicado en misión Bogotá por palabras soeces en contra de su esposa."/>
    <x v="5"/>
    <x v="5"/>
    <s v="BUZÓN"/>
    <s v="OFICIO 2016EE514 DE FECHA 19 FEBRERO./2016"/>
    <s v="DES"/>
    <n v="13"/>
    <x v="0"/>
  </r>
  <r>
    <n v="38"/>
    <n v="4"/>
    <x v="5"/>
    <n v="167922016"/>
    <s v="Atendido"/>
    <s v="2016ER443"/>
    <x v="12"/>
    <d v="2016-02-23T00:00:00"/>
    <d v="2016-02-25T00:00:00"/>
    <s v="WILLIAM NOMESQUE"/>
    <s v="WILLAIM NOMESQUE INTERPONHE RECLAMOS POR SU DESCONTENTO  SOBRE EL MAL DISEÑO ESTRUCTURAL DE LOS SANITARIOS DEL  SUPERCADE DE MOVILIDAD."/>
    <x v="0"/>
    <x v="8"/>
    <s v="ESCRITO"/>
    <s v="OFICIO 2016EE565 DE FECHA 25 FEBRERO./2016"/>
    <s v="BAÑ"/>
    <n v="17"/>
    <x v="1"/>
  </r>
  <r>
    <n v="39"/>
    <n v="5"/>
    <x v="3"/>
    <n v="167872016"/>
    <s v="Atendido"/>
    <s v="2016ER444"/>
    <x v="12"/>
    <d v="2016-02-23T00:00:00"/>
    <d v="2016-02-25T00:00:00"/>
    <s v="ERIKA PAULA GOMEZ"/>
    <s v="ERIKA PAULA GOMEZ  INTREPONE QUEJA POR SUPUESTO MALTRATO RECIBIDO POR LAS PERSONAS QUE  ADMINISTRA EL BAÑO DEL SUPERCADE DE MOVILIDAD"/>
    <x v="5"/>
    <x v="8"/>
    <s v="ESCRITO"/>
    <s v="OFICIO 2016EE569 DE FECHA 25 FEBRERO./2016"/>
    <s v="BAÑ"/>
    <n v="17"/>
    <x v="1"/>
  </r>
  <r>
    <n v="40"/>
    <n v="6"/>
    <x v="2"/>
    <n v="173102016"/>
    <s v="Atendido"/>
    <s v="2016ER452"/>
    <x v="12"/>
    <d v="2016-02-16T00:00:00"/>
    <d v="2016-02-12T00:00:00"/>
    <s v="JOSE EMILIANO GONZALEZ"/>
    <s v="INTERPONE DEERECHO DE PETICIION SOLICITANDO COPIA DE  CONTROL DE RECORRIDO  DE ADMINISTRAACION DE BIENES  E INFRAESTRUCTURA."/>
    <x v="0"/>
    <x v="4"/>
    <s v="ESCRITO"/>
    <s v="OFICIO 2016EE419 DE FECHA 12 FEBRERO./2016"/>
    <s v="SUB"/>
    <n v="8"/>
    <x v="0"/>
  </r>
  <r>
    <n v="41"/>
    <n v="7"/>
    <x v="0"/>
    <n v="170942016"/>
    <s v="Atendido"/>
    <s v="2016ER452"/>
    <x v="12"/>
    <d v="2016-02-23T00:00:00"/>
    <d v="2016-02-10T00:00:00"/>
    <s v="ALVARO FERRER PELAEZ"/>
    <s v="INTERPONE DERECHO DE PETICION SOLICITANDO PROYECTOS  PROYECTOS PARA RECUPERAR BOGOTA ."/>
    <x v="0"/>
    <x v="0"/>
    <s v="ESCRITO"/>
    <s v="OFICIO 2016EE385 DE FECHA 10 FEBRERO./2016"/>
    <s v="SUB"/>
    <n v="6"/>
    <x v="0"/>
  </r>
  <r>
    <n v="42"/>
    <n v="8"/>
    <x v="1"/>
    <n v="169872016"/>
    <s v="Atendido"/>
    <s v="N/A"/>
    <x v="12"/>
    <d v="2016-02-23T00:00:00"/>
    <d v="2016-02-24T00:00:00"/>
    <s v="ANÓNIMO"/>
    <s v="CON EL ANIMO DE LA TRANSPARENCIA E IGUALDAD ENTRE LOS FUNCIONARIOS DEL INSTITUTO, SOLICITO SE REVISE EL SALARIO DE LA ODONTOLOGA YA QUE SU MONTO ES EXORBITANTE EN RELACION CON EL SALARIO DE LOS DEMAS PROFESIONALES NO SOLO DEL AREA A LA CUAL PERTENECE SINO CON EL RESTO DE EMPLEADOS. BAJO QUE PARAMETROS SE TASO DICHO SUELDO??? SI LAS FUNCIONES QUE REALIZA EN SU DESEMPEÑO LABORAL SON DE UNA AUXILIAR DE ODONDOLOGIA O DE UNA HIGIENISTA ORAL.? DONDE ESTAN LAS BASES JURIDICAS PARA ESTE CARGO?. ESTE RECLAMO VA CON COPIA A LA CONTRALORIA"/>
    <x v="0"/>
    <x v="0"/>
    <s v="WEB"/>
    <s v="OFICIO 2016EE555 DE FECHA 24 FEBRERO./2016"/>
    <s v="SUB"/>
    <n v="16"/>
    <x v="1"/>
  </r>
  <r>
    <n v="43"/>
    <n v="9"/>
    <x v="0"/>
    <n v="163862016"/>
    <s v="Atendido"/>
    <s v="N/A"/>
    <x v="13"/>
    <d v="2016-02-24T00:00:00"/>
    <d v="2016-02-10T00:00:00"/>
    <s v="ADOLFO GUERRERO"/>
    <s v="SOLICITUD DE INTERVENCION EN ZONA DE AV. BOYACA CON CLLE 68"/>
    <x v="0"/>
    <x v="0"/>
    <s v="WEB"/>
    <s v="OFICIO 2016EE386 DE FECHA 10 FEBRERO./2016"/>
    <s v="SUB"/>
    <n v="5"/>
    <x v="0"/>
  </r>
  <r>
    <n v="44"/>
    <n v="10"/>
    <x v="3"/>
    <n v="172892016"/>
    <s v="Atendido"/>
    <s v="N/A"/>
    <x v="13"/>
    <d v="2016-02-24T00:00:00"/>
    <d v="2016-02-18T00:00:00"/>
    <s v="ALEJANDRO PORRAS RIVERA"/>
    <s v="EL CIUDADNO SE COMUNICA SOLICITANDO LA INVESTIGACION A FUNCIONARIOS DEL IDIPRON QUE TRABAJA EN PROYECTO EN EL BICIPARQUEADERO DE LAS AGUAS . EN EL SISTEMA DEBE REGISTRAR UNOS DATOS Y EN ESTOS DIAS RECIBE UN WTHASAAP CON EL ALIAS AURI JAVIER PROPONIENDOLE ACTOS SEXUALES, EL CIUDADANO LE SIGUE EL JUEGO Y AURI JAVIER LE CUENTA QUE LO CONOCIO EN EL BICIPARQUEADERO DE LAS AGUAS, POR LO QUE EL CIUDADANO DEDUCE QUE ESTA PERSONA UTILIZO LA BASE DE DATOS DEL SISTEMA PARA OSTIGARLO"/>
    <x v="5"/>
    <x v="6"/>
    <s v="TELEFONICO"/>
    <s v="OFICIO 2016EE495 DE FECHA 18 FEBRERO./2016"/>
    <s v="MIS"/>
    <n v="11"/>
    <x v="0"/>
  </r>
  <r>
    <n v="45"/>
    <n v="11"/>
    <x v="1"/>
    <n v="187412016"/>
    <s v="Atendido"/>
    <s v="YAG019"/>
    <x v="14"/>
    <d v="2016-02-25T00:00:00"/>
    <d v="2016-02-22T00:00:00"/>
    <s v="ANDY RAMIREZ CORTES"/>
    <s v="INTERPONE RECLAMO PORQUE LA SEÑORA NATALIA MARIN DONATO IDENTIFICADA CON C.C. 102393460 SE ENCUENTRA VINCULADA AL PROGRAMA  JOVENEZ EN PAZ SIN NECESITARLO, PRESENTANDO DOCUMENTACION FALSA ."/>
    <x v="0"/>
    <x v="0"/>
    <s v="ESCRITO"/>
    <s v="OFICIO 2016EE526 DE FECHA 22 FEBRERO./2016"/>
    <s v="SUB"/>
    <n v="12"/>
    <x v="0"/>
  </r>
  <r>
    <n v="46"/>
    <n v="12"/>
    <x v="4"/>
    <n v="187482016"/>
    <s v="Atendido"/>
    <s v="YAG020"/>
    <x v="14"/>
    <d v="2016-02-18T00:00:00"/>
    <d v="2016-02-08T00:00:00"/>
    <s v="GLORIA BEATRIZ BELTRAN"/>
    <s v="BENEFICIARIA DEL COMEDOR BOSA PRESENTA RECLAMO SOLICITANDO  EN QUE ASAMBLE SE ESTIPULO EL HORARIO PARA RECIBIR LOS ALIMENTOS EN EL COMEDOR."/>
    <x v="6"/>
    <x v="2"/>
    <s v="BUZÓN"/>
    <s v="OFICIO 2016IE974 DE FECHA 08 FEBRERO./2016"/>
    <s v="COM"/>
    <n v="2"/>
    <x v="0"/>
  </r>
  <r>
    <n v="47"/>
    <n v="13"/>
    <x v="6"/>
    <n v="195352016"/>
    <s v="Atendido"/>
    <s v="YAG021"/>
    <x v="15"/>
    <d v="2016-02-26T00:00:00"/>
    <d v="2016-02-23T00:00:00"/>
    <s v="YUREIDI MARCELA SANTIESTEBAN"/>
    <s v="Usuarias de la UPI ARCADIA sugiere que arreglen el parque, que hagan mas salidas lúdicas y otras sugerencias mas."/>
    <x v="1"/>
    <x v="0"/>
    <s v="BUZÓN"/>
    <s v="OFICIO 2016IE1501 DE FECHA 23 FEBRERO./2016"/>
    <s v="SUB"/>
    <n v="12"/>
    <x v="0"/>
  </r>
  <r>
    <n v="48"/>
    <n v="14"/>
    <x v="6"/>
    <n v="195432016"/>
    <s v="Atendido"/>
    <s v="YAG022"/>
    <x v="15"/>
    <d v="2016-02-26T00:00:00"/>
    <d v="2016-02-23T00:00:00"/>
    <s v="CATA M."/>
    <s v="Usuarias de la UPI ARCADIA sugiere arreglen el parque, que vuelvan a poner la tienda y otras sugerencias mas."/>
    <x v="1"/>
    <x v="0"/>
    <s v="BUZÓN"/>
    <s v="OFICIO 2016IE1504 DE FECHA 23 FEBRERO./2016"/>
    <s v="SUB"/>
    <n v="12"/>
    <x v="0"/>
  </r>
  <r>
    <n v="49"/>
    <n v="15"/>
    <x v="6"/>
    <n v="195482016"/>
    <s v="Atendido"/>
    <s v="YAG023"/>
    <x v="15"/>
    <d v="2016-02-26T00:00:00"/>
    <d v="2016-02-23T00:00:00"/>
    <s v="ISABELA, SARAY, LILIBETH"/>
    <s v="Usuarias de la UPI ARCADIA sugiere les den un taller de vitrales y uno de telares."/>
    <x v="1"/>
    <x v="0"/>
    <s v="BUZÓN"/>
    <s v="OFICIO 2016IE1502 DE FECHA 23 FEBRERO./2016"/>
    <s v="SUB"/>
    <n v="12"/>
    <x v="0"/>
  </r>
  <r>
    <n v="50"/>
    <n v="16"/>
    <x v="3"/>
    <n v="211442016"/>
    <s v="Atendido"/>
    <s v="YAG024"/>
    <x v="16"/>
    <d v="2016-03-01T00:00:00"/>
    <d v="2016-02-26T00:00:00"/>
    <s v="MALENA CALDERÓN VARGAS"/>
    <s v="Psicóloga de la UPI SAN FRANCISCO presenta queja en contra de algunos funcionarios de la unidad por maltrato en contra de ella."/>
    <x v="5"/>
    <x v="0"/>
    <s v="BUZÓN"/>
    <s v="OFICIO 2016EE589 DE FECHA 26 FEBRERO./2016"/>
    <s v="SUB"/>
    <n v="13"/>
    <x v="0"/>
  </r>
  <r>
    <n v="51"/>
    <n v="17"/>
    <x v="5"/>
    <n v="211542016"/>
    <s v="Atendido"/>
    <s v="2016ER517"/>
    <x v="16"/>
    <d v="2016-03-01T00:00:00"/>
    <d v="2016-03-01T00:00:00"/>
    <s v="CARLOS VILLAMIZAR MARTIN"/>
    <s v="Usuario de los baños públicos ubicados en el supercade de movilidad presentan reclamo por mal servicio."/>
    <x v="0"/>
    <x v="8"/>
    <s v="ESCRITO"/>
    <s v="OFICIO 2016EE615 DE FECHA 01 MARZO./2016"/>
    <s v="BAÑ"/>
    <n v="15"/>
    <x v="0"/>
  </r>
  <r>
    <n v="52"/>
    <n v="18"/>
    <x v="5"/>
    <n v="211612016"/>
    <s v="Atendido"/>
    <s v="2016ER518"/>
    <x v="16"/>
    <d v="2016-03-01T00:00:00"/>
    <d v="2016-03-01T00:00:00"/>
    <s v="LINA MAIDE ZULUAGA"/>
    <s v="Usuario de los baños públicos ubicados en el supercade de movilidad presentan reclamo por mal servicio."/>
    <x v="0"/>
    <x v="8"/>
    <s v="ESCRITO"/>
    <s v="OFICIO 2016EE616 DE FECHA 01 MARZO./2016"/>
    <s v="BAÑ"/>
    <n v="15"/>
    <x v="0"/>
  </r>
  <r>
    <n v="53"/>
    <n v="19"/>
    <x v="5"/>
    <n v="211722016"/>
    <s v="Atendido"/>
    <s v="2016ER519"/>
    <x v="16"/>
    <d v="2016-03-01T00:00:00"/>
    <d v="2016-03-01T00:00:00"/>
    <s v="LUZ MARINA BRICEÑO"/>
    <s v="Usuario de los baños públicos ubicados en el supercade de movilidad presentan reclamo por mal servicio."/>
    <x v="0"/>
    <x v="8"/>
    <s v="ESCRITO"/>
    <s v="OFICIO 2016EE617 DE FECHA 01 MARZO./2016"/>
    <s v="BAÑ"/>
    <n v="15"/>
    <x v="0"/>
  </r>
  <r>
    <n v="54"/>
    <n v="20"/>
    <x v="1"/>
    <n v="211972016"/>
    <s v="Atendido"/>
    <s v="2016ER527"/>
    <x v="16"/>
    <d v="2016-03-01T00:00:00"/>
    <d v="2016-02-23T00:00:00"/>
    <s v="CLARA INÉS VALENZUELA RODRÍGUEZ"/>
    <s v="Madre del joven Cristian Camilo Reina Valenzuela presenta derecho de petición solicitando devolución de pagos de su hijo por fallecimiento."/>
    <x v="0"/>
    <x v="0"/>
    <s v="ESCRITO"/>
    <s v="OFICIO 2016EE535 DE FECHA 23/2/2016"/>
    <s v="SUB"/>
    <n v="10"/>
    <x v="0"/>
  </r>
  <r>
    <n v="55"/>
    <n v="21"/>
    <x v="1"/>
    <n v="215182016"/>
    <s v="Atendido"/>
    <s v="2016ER539"/>
    <x v="16"/>
    <d v="2016-03-01T00:00:00"/>
    <d v="2016-02-23T00:00:00"/>
    <s v="HERNANDO GOMEZ MELO"/>
    <s v="Ex funcionario del Idipron presenta derecho de petición solicitando certificado laboral para tramite de la pensión."/>
    <x v="0"/>
    <x v="5"/>
    <s v="ESCRITO"/>
    <s v="OFICIO 2016EE549 DE FECHA 23 FEBRERO./2016"/>
    <s v="DES"/>
    <n v="10"/>
    <x v="0"/>
  </r>
  <r>
    <n v="56"/>
    <n v="22"/>
    <x v="1"/>
    <n v="220712016"/>
    <s v="Atendido"/>
    <s v="N/A"/>
    <x v="17"/>
    <d v="2016-03-02T00:00:00"/>
    <d v="2016-02-23T00:00:00"/>
    <s v="ANÓNIMO"/>
    <s v="SEÑOR DIRECTOR IDIPRON PADRE WILFREDO GRAJALES. SEÑOR SUBDIRECTOR DEL METODO OPERATIVO IDIPRON ALIRIO PESCA. EL PRESENTE REQUIRIMIENTO ES PARA QUE SE ANALICE LA PERTINENCIA DE LA REUNION SEMANAL DEL COMITE OPERATIVO, QUE SE REALIZA POR INTERNADOS Y EXTERNADOS. ES REALMENTE PERTINENTE REALIZARLA TODOS LAS SEMANAS???? LOS DIRECTORES DEJAN SOLAS LAS UNIDADES DEMASIADO TIEMPO Y POR ESO ES QUE MUCHOS PROCESOS NO FUNCIONAN, MUCHAS DE LAS VECES NI REGRESAN A SUS UNIDADES. ES DE CARACTER NECESARIA ESTAS REUNIONES? POR FAVOR ANALICES ESTO YA QUE EL VERDADERO TRABAJO SE REALIZA ENLAS UPIS Y EN IDIPRON SE SUFRE DE REUNITIS INNECESARIAS QUE SOLO FAVORECEN ES LA PARTE SOCIAL DE LOS EMPLEADOS"/>
    <x v="1"/>
    <x v="0"/>
    <s v="WEB"/>
    <s v="OFICIO 2016IE1503 DE FECHA 23/2/2016"/>
    <s v="SUB"/>
    <n v="9"/>
    <x v="0"/>
  </r>
  <r>
    <n v="57"/>
    <n v="23"/>
    <x v="0"/>
    <n v="244512016"/>
    <s v="Atendido"/>
    <s v="2016ER603"/>
    <x v="18"/>
    <d v="2016-03-04T00:00:00"/>
    <d v="2016-03-02T00:00:00"/>
    <s v="GUILLERMO SANABRIA"/>
    <s v="USUARIO DE LOS BAÑOS PÚBLICOS DEL SUPERCADE DE MOVILIDAD PRESENTA RECLAMO POR EL MAL ESTADO DE LOS MISMOS"/>
    <x v="0"/>
    <x v="8"/>
    <s v="WEB"/>
    <s v="OFICIO 2016EE631 DE FECHA 02 MARZO./2016"/>
    <s v="BAÑ"/>
    <n v="13"/>
    <x v="0"/>
  </r>
  <r>
    <n v="58"/>
    <n v="24"/>
    <x v="1"/>
    <n v="266622016"/>
    <s v="Atendido"/>
    <s v="2016ER656"/>
    <x v="19"/>
    <d v="2016-03-08T00:00:00"/>
    <d v="2016-02-26T00:00:00"/>
    <s v="JOSE MANUEL VERGARA"/>
    <s v="JOSE MANUEL VERGARA INTERPOPNE DERECHO DE PTICION SOLICITANDO PAGO DEL MES DE ENERO ."/>
    <x v="0"/>
    <x v="3"/>
    <s v="ESCRITO"/>
    <s v="OFICIO 2016EE590 DE FECHA 26 FEBRERO./2016"/>
    <s v="JUR"/>
    <n v="8"/>
    <x v="0"/>
  </r>
  <r>
    <n v="59"/>
    <n v="25"/>
    <x v="1"/>
    <n v="284502016"/>
    <s v="Atendido"/>
    <s v="N/A"/>
    <x v="20"/>
    <d v="2016-03-10T00:00:00"/>
    <d v="2016-03-03T00:00:00"/>
    <s v="LUZ MARINA QUIROGA"/>
    <s v="DE ACUERDO AL DOCUMENTO ADJUNTO EN MI CONDICIÓN DE DEFENSORA DE FAMILIA DEL CENTRO ESPECIALIZADO EFECTO REANUDAR-CRECER RESPETUOSAMENTE SOLICITO LA POSIBILIDAD DE ORDENAR A QUIEN CORRESPONDA, VINCULAR AL ADOLESCENTE LUIS EDUARDO PALACIOS OBREGON IDENTIFICADO CON C.C 10010028257 DE FLORIDA VALLE YA QUE PERMANECIÓ EN VARIOS DE NUESTROS PROGRAMAS HASTA SU MAYORÍA DE EDAD, MANIFESTANDO VENIR DE LA CIUDAD DE CALI SIN RECURSOS PARA SU SUPERVIVENCIA NI FAMILIA QUE LO APOYE."/>
    <x v="0"/>
    <x v="0"/>
    <s v="WEB"/>
    <s v="OFICIO 2016EE643 DE FECHA 03 MARZO./2016"/>
    <s v="SUB"/>
    <n v="10"/>
    <x v="0"/>
  </r>
  <r>
    <n v="60"/>
    <n v="26"/>
    <x v="1"/>
    <n v="277002016"/>
    <s v="Atendido"/>
    <s v="N/A"/>
    <x v="20"/>
    <d v="2016-03-10T00:00:00"/>
    <d v="2016-02-24T00:00:00"/>
    <s v="ANÓNIMO"/>
    <s v="UENA TARDE, QUISIERA PONER EN CONOCIMIENTO DE UDS QUE LOS CENTRO ESCNNA EXTERNADO NO ESTAN SIENDO DIRIGIDOS O MANEJADOS COMO DEBIERA CON LOS RECURSOS QUE USTEDES DESTINAN PARA LOS NIÑOS, ME GUSTARIA QUE INDAGARAN BIEN QUE HICIERON CON EL PRESUPUESTO DE 2015 SI SE UTILIZO EN LOS NIÑOS, TANTO ES EL DESCONTENTO DEL PERSONAL QUE EN ESTOS DIAS VARIOS HAN RENUNCIADO ..ME GUSTARIA LES PREGUNTARAN PORQUE HA SUCEDIDO ESTO A LOS DIRECTIVOS DE RENACER.. ADICIONAL HA ESTO DEBEN VERIFICAR CUALES SON LAS NORMAS O SI HAY UN TIPO DE REGLAMENTO DE COMPORTAMIENTO EN LOS NIÑOS, QUE PARA LOS FUNCIONARIOS DE RENACER , EL MEJORAR A LOS NIÑOS PARA QUE SEAN UNAS PERSONAS RESPETUOSAS, NO LES CORRESPONDE A ELLOS.. ASI QUE CONSIDERO QUE USTEDES CON UNA INSTITUCION QUE SE ENCARGA DE LOS NIÑOS Y LOS ADOLESCENTES SON LOS QUE DIRECTAMENTE DEBERIAN TOMAR ESE PROYECTO EN SUS MANOS SIN UTILIZAR INTERMEDIARIOS, PUES COMO SUCEDE MUCHAS VECES EL DINERO SE QUEDA EN EL CAMINO Y NO SE INVIERTE REALMENTE PARA LO QUE ESTA DESTINADO.."/>
    <x v="0"/>
    <x v="7"/>
    <s v="WEB"/>
    <s v="OFICIO 2016EE555 DE FECHA 24 FEBRERO./2016"/>
    <s v="DIR"/>
    <n v="4"/>
    <x v="0"/>
  </r>
  <r>
    <n v="61"/>
    <n v="27"/>
    <x v="1"/>
    <n v="292452016"/>
    <s v="Atendido"/>
    <s v="2016ER702"/>
    <x v="20"/>
    <d v="2016-03-10T00:00:00"/>
    <d v="2016-03-08T00:00:00"/>
    <s v="LENNYS ALEXANDRA  MENDEZ ROMERO"/>
    <s v="INTERPONE DERECHO DE PETICION  SOLICITANDO COPIAS DE LAS PLANILLAS DE ASISTENCIA A LAS JORNADAS LABORALES DURANTE EL PERIODO DE VINCULACION."/>
    <x v="0"/>
    <x v="6"/>
    <s v="ESCRITO"/>
    <s v="OFICIO 2016EE681 DE FECHA 08 MARZO./2016"/>
    <s v="MIS"/>
    <n v="13"/>
    <x v="0"/>
  </r>
  <r>
    <n v="62"/>
    <n v="28"/>
    <x v="1"/>
    <n v="296082016"/>
    <s v="Atendido"/>
    <s v="2016ER721"/>
    <x v="21"/>
    <d v="2016-03-11T00:00:00"/>
    <d v="2016-03-03T00:00:00"/>
    <s v="JULIAN MAURICIO SANCHEZ MARIN"/>
    <s v="INTERPONE DERECHO DE PETICION SOLICITANDO INFORMACION SOBRE PROCESO ALGUNO EN SU CONTRO POR  QUEJAS D ESTUDIANTES, FUNCIONARIOS Y/O SUPERVISOR. "/>
    <x v="0"/>
    <x v="0"/>
    <s v="ESCRITO"/>
    <s v="OFICIO 2016EE640 DE FECHA 03 MARZO./2016"/>
    <s v="SUB"/>
    <n v="9"/>
    <x v="0"/>
  </r>
  <r>
    <n v="63"/>
    <n v="29"/>
    <x v="0"/>
    <n v="291902016"/>
    <s v="Atendido"/>
    <s v="N/A"/>
    <x v="21"/>
    <d v="2016-03-11T00:00:00"/>
    <d v="2016-03-03T00:00:00"/>
    <s v="YECID FERNANDO LEYTON ARDILA"/>
    <s v="Este derecho de petición viene trasladado del Ministerio de Salud y Protección Social, donde el peticionario solicita generación de acciones con las entidades distritales dirigidas a niños y niñas que se encuentran en condiciones de indigencia en la zona conocida como el Bronx (ver detalle en el archivo adjunto) es así como el Ministerio de Salud solicita se realice una visita de inspección sanitaria y de reconocimiento y atención integral para el cumplimiento de los derechos de los menores, a su vez se traslada por el SDQS para Secretaria de Integración Social para lo su competencia. Radicado 2016ER11704 del 18/02/2016."/>
    <x v="7"/>
    <x v="0"/>
    <s v="WEB"/>
    <s v="OFICIO 2016EE642 DE FECHA 03 MARZO./2016"/>
    <s v="SUB"/>
    <n v="9"/>
    <x v="0"/>
  </r>
  <r>
    <n v="64"/>
    <n v="30"/>
    <x v="3"/>
    <n v="322152016"/>
    <s v="Atendido"/>
    <s v="2016ER780"/>
    <x v="22"/>
    <d v="2016-03-15T00:00:00"/>
    <d v="2016-03-08T00:00:00"/>
    <s v="SERGIO CASTILLO"/>
    <s v="SERGIO A CASTILLO INTERPONE QUEJA CONTRA LA FUNCIONARIA ANGELICA APONTE."/>
    <x v="5"/>
    <x v="0"/>
    <s v="ESCRITO"/>
    <s v="OFICIO 2016EE682 DE FECHA 08 MARZO./2016"/>
    <s v="SUB"/>
    <n v="10"/>
    <x v="0"/>
  </r>
  <r>
    <n v="65"/>
    <n v="31"/>
    <x v="5"/>
    <n v="325232016"/>
    <s v="Atendido"/>
    <s v="2016ER792"/>
    <x v="23"/>
    <d v="2016-03-16T00:00:00"/>
    <d v="2016-03-09T00:00:00"/>
    <s v="JOSE JAIR FUENTES FONSECA Y OTROS"/>
    <s v="BENEFICIARIOS DEL PROYECTO MISION BOGOTA INTERPONEN DERECHO DE PETICION EXIGIENDO EL PAGO DE SOSTENIBILIDAD DEL MES DE ENERO DCE 2016"/>
    <x v="0"/>
    <x v="6"/>
    <s v="ESCRITO"/>
    <s v="OFICIO 2016EE692 DE FECHA 09 MARZO./2016"/>
    <s v="MIS"/>
    <n v="10"/>
    <x v="0"/>
  </r>
  <r>
    <n v="66"/>
    <n v="32"/>
    <x v="4"/>
    <n v="325292016"/>
    <s v="Atendido"/>
    <s v="2016ER787"/>
    <x v="23"/>
    <d v="2016-03-09T00:00:00"/>
    <d v="2016-03-09T00:00:00"/>
    <s v="JAIRO EDUARDO MANCIPE"/>
    <s v="INTRPONE DERECHO DE EPTICION SOLICITANDO INFORMACION RELACIONADA CON CONOCER HASTA DONDE LLEGAN LAS FUNCIONES DE LOS JOVENES DEMISION BOGOTA, QUE NO LE APOYARON A ATENDER POBLACION LESIONADA LOS DIAS 8 Y 9 DE FEBRERO POR PROTESTAS EN ESTACIONES DE TRANSMILENIO."/>
    <x v="0"/>
    <x v="6"/>
    <s v="ESCRITO"/>
    <s v="OFICIO 2016EE691 DE FECHA 09 MARZO./2016"/>
    <s v="MIS"/>
    <n v="10"/>
    <x v="0"/>
  </r>
  <r>
    <n v="67"/>
    <n v="33"/>
    <x v="3"/>
    <n v="347462016"/>
    <s v="Atendido"/>
    <s v="2016ER839"/>
    <x v="24"/>
    <d v="2016-03-18T00:00:00"/>
    <d v="2016-03-18T00:00:00"/>
    <s v="PEDRO ANTONMIO MARTINEZ"/>
    <s v="EL SEÑOR PEDRO ANTONIO MARTINEZ PEREZ  INTREPONE QUEJA CONTRA EL SEÑOR JOSE DEL CARMEN MOYA GARCES"/>
    <x v="5"/>
    <x v="4"/>
    <s v="ESCRITO"/>
    <s v="OFICIO 2016IE2418 DE FECHA 18 MARZO./2016"/>
    <s v="SUB"/>
    <n v="15"/>
    <x v="0"/>
  </r>
  <r>
    <n v="68"/>
    <n v="34"/>
    <x v="4"/>
    <n v="304372016"/>
    <s v="Atendido"/>
    <s v="N/A"/>
    <x v="23"/>
    <d v="2016-03-09T00:00:00"/>
    <d v="2016-02-29T00:00:00"/>
    <s v="JORGE EDUARDO TORRES"/>
    <s v="JORGE EDURADO TORES CAMARGO CONCEJAL DE BOGOTA INTERPONE DERECHO DE PETICION  SOLICITANDO INFORMACION   EN 15 PUNTOS SOBRE BAÑOS PUBLICOS."/>
    <x v="0"/>
    <x v="8"/>
    <s v="WEB"/>
    <s v="OFICIO 2016EE608 DE FECHA 29 FEBRERO./2016"/>
    <s v="BAÑ"/>
    <n v="3"/>
    <x v="0"/>
  </r>
  <r>
    <n v="69"/>
    <n v="35"/>
    <x v="1"/>
    <n v="328252016"/>
    <s v="Atendido"/>
    <s v="N/A"/>
    <x v="24"/>
    <d v="2016-03-18T00:00:00"/>
    <d v="2016-03-11T00:00:00"/>
    <s v="DIEGO CELY"/>
    <s v="PROPONE PARA ESTA NUEVA ADMINISTRACION PROGRAMAS DE EDUCACION PARA LOS JOVENES"/>
    <x v="0"/>
    <x v="0"/>
    <s v="WEB"/>
    <s v="OFICIO 2016EE707 DE FECHA 11 MARZO./2016"/>
    <s v="SUB"/>
    <n v="10"/>
    <x v="0"/>
  </r>
  <r>
    <n v="70"/>
    <n v="36"/>
    <x v="3"/>
    <n v="345912016"/>
    <s v="Atendido"/>
    <s v="N/A"/>
    <x v="24"/>
    <d v="2016-03-18T00:00:00"/>
    <d v="2016-03-03T00:00:00"/>
    <s v="ANÓNIMO"/>
    <s v="NUESTRA QUEJA ES EN CONTRA DE LA SEÑORITA KAREN LEON DE LA OFICINA JURIDICA, QUIEN ES UNA PERSONA GROSERA, ANTIPATICA, HUMILLANTE Y QUE DISCRIMINA A LA GENTE, SIEMPRE ESTA DE MAL GENIO Y NO LE GUSTA ATENDER A LAS PERSONAS. LES VAMOS A EXPLICAR UN POCO NUESTRA QUEJA NO ENTENDEMOS PORQUE NOS TOCA ESPERAR DIEZ (10) DIAS HABILES PARA QUE NOS DEN UNA CERTIFICACION LABORAL, UNA HOJA DE 5 RENGLONES QUE NI SIQUIERA TIENE UNA FIRMA ORIGINAL PORQUE ESTA ES DIGITAL, QUE ADEMAS NO SE TOMA LA MOLESTIA DE LEER PORQUE MUCHAS VECES NO COLOCA LAS ADICIONES O SUSPENSIONES O CESION O CUALQUIER MODIFICACION QUE HAYAN TENIDO NUESTROS CONTRATOS, LA LLAMA UNO Y NUNCA ESTA ANTES DE LAS 9:00 A.M. VA UNO A PREGUNTARLA Y NO ESTA O NO HA LLEGADO O ESTA DE VISITA CON LOS COMPAÑEROS Y LE PIDEN ATENDER LA GENTE Y SE PONE BRAVA, ADEMAS ESOS 10 DIAS SE CONVIERTEN EN 20 DIAS, POR CULPA DE ESTA SEÑORITA HEMOS PERDIDO OPORTUNIDADES DE TRABAJO PORQUE ES UN DOCUMENTO IMPORTANTE QUE HAY QUE PONERLE CUIDADO. PENSAMOS QUE CON EL CAMBIO DE ADMINISTRACION ESTO IBA A CAMBIAR PERO LA SEÑORITA SE QUEDO EN LA BOGOTA IN-HUMANA. O NO TIENE UN JEFE QUE LE EXIJA QUE HAGA SU TRABAJO COMO DEBE SER. MUY MAL PARA LA OFICINA JURIDICA NIÑA A USTED LE PAGAN POR TRABAJAR, ADEMAS SIEMPRE DICE QUE TIENE MUCHO TRABAJO PERO O NUNCA LLEGA TEMPRANO O ESTA DE PERMISO O DE VACACIONES PERO NUNCA ESTA. DIGANLE AL PADRINO POLITICO QUE TIENE QUE LO ESTA HACIENDO QUEDAR MAL......."/>
    <x v="5"/>
    <x v="3"/>
    <s v="WEB"/>
    <s v="OFICIO 2016EE651 DE FECHA 03 MARZO./2016"/>
    <s v="JUR"/>
    <n v="4"/>
    <x v="0"/>
  </r>
  <r>
    <n v="71"/>
    <n v="1"/>
    <x v="1"/>
    <n v="356022016"/>
    <s v="Atendido"/>
    <s v="YAG025"/>
    <x v="25"/>
    <d v="2016-03-23T00:00:00"/>
    <d v="2016-03-17T00:00:00"/>
    <s v="JUAN MANUEL BOHORQUEZ"/>
    <s v="Buenas tardes, _x000a_Hace algunos años se radico un derecho de petición al la entidad por daños en la finca de mi familia, personalmente fui a Bogotá para que aclararon como iban a pagar los daños y perjuicios, en donde el perito se apareció muy tarde, ustedes quedaron de pagar esos daños pero no se si lo han hecho."/>
    <x v="0"/>
    <x v="0"/>
    <s v="WEB"/>
    <s v="OFICIO 2016EE780 DE FECHA 17 MARZO./2016"/>
    <s v="SUB"/>
    <n v="12"/>
    <x v="0"/>
  </r>
  <r>
    <n v="72"/>
    <n v="2"/>
    <x v="4"/>
    <n v="355882016"/>
    <s v="Atendido"/>
    <s v="YAG026"/>
    <x v="25"/>
    <d v="2016-03-15T00:00:00"/>
    <d v="2016-03-11T00:00:00"/>
    <s v="JULIO CESAR GALÁN"/>
    <s v="Señores IDIPRON, una consulta, acogiéndome al artículo 23 de la CN: _x000a_1. Si se cambia el destino de los recursos de un proyecto establecidos en el Plan de Desarrollo de una ciudad -y de una entidad como la que hoy dirigen- para darles una destinación diferente. O para recortar el presupuesto en un 50 %. ¿Eso se llama PECULADO POR APROPIACIÓN?_x000a_2. Porque están pensando en cerrar, cambiar, recortar y/o ajustar el proyecto de Jóvenes en Paz?_x000a_Ni los saludo, ni les doy las gracias. Espero me respondan."/>
    <x v="2"/>
    <x v="0"/>
    <s v="WEB"/>
    <s v="OFICIO 2016EE717  DE FECHA 11 MARZO./2016"/>
    <s v="SUB"/>
    <n v="8"/>
    <x v="0"/>
  </r>
  <r>
    <n v="73"/>
    <n v="3"/>
    <x v="0"/>
    <n v="378042016"/>
    <s v="Atendido"/>
    <s v="2016ER910"/>
    <x v="26"/>
    <d v="2016-03-29T00:00:00"/>
    <d v="2016-03-29T00:00:00"/>
    <s v="JUAN PABLO SAENZ NINO"/>
    <s v="INTERPONE DERECHO DE PETIICON SOLICITANDO UNA VISITA  PARA EVALUAR LAS REPARACIONES NECESARIAS POR CAMBIO DE ANDENES DE LA CALLE 95 REALIZADO POR LA J.A.C. BARRIOLA CASTELLANA E IDIPRON."/>
    <x v="0"/>
    <x v="5"/>
    <s v="ESCRITO"/>
    <s v="OFICIO 2016EE830 DE FECHA 29 MARZO./2016"/>
    <s v="DES"/>
    <n v="15"/>
    <x v="0"/>
  </r>
  <r>
    <n v="74"/>
    <n v="4"/>
    <x v="4"/>
    <n v="358942016"/>
    <s v="Atendido"/>
    <s v="N/A"/>
    <x v="26"/>
    <d v="2016-03-17T00:00:00"/>
    <d v="2016-03-17T00:00:00"/>
    <s v="ALBERTO CONTRERAS"/>
    <s v="PROCEDENTE DE LA RED DE CONTROL SOCIAL - APOYO A VEEDURIAS EL CIUDADANOA SOLICITA: 1.DISTRIBUIR EN TODAS LAS OFICINAS DE PLANEACION, DE CONTROL INTERNO Y DE TICS EN LA ENTIDADES DISTRITALES INCLUIDO EL CONCEJO DE BOGOTA LA RESPUESTA DE LA DIRECTORA DE CONTROL INTERNO DE RACIONALIZACION DE TRAMITES DEL DAFP (VER ANEXO), SE SOLICITA DAR ACUSE DE RECIBO UNA VEZ SE HAYA REVISADO EL DOCUMENTO Y 2. SE SOLICITA QUE TODOS LOS RESPONSABLES DE LAS OFICINAS DE COMUNICACION CON APOYO DE LOS RESPONSABLES DE GOBIERNO Y EN LINEA, PLANEACION Y GOBIERNO ABIERTO CONVOQUEN VIA MEDIOS DIGITALES , TICS, CANAL CAPITAL LA PARTICIPACION PARA LA CONSTRUCCION DE PROPUESTAS DE MENSAJES Y EL DISEÑO PARTICIPATIVO DE LOS MENSAJES EN TEMAS DE ESPACIO PUBLICO, AMBIENTE Y MORALIDAD ADTIVA."/>
    <x v="0"/>
    <x v="1"/>
    <s v="ESCRITO"/>
    <s v="OFICIO 2016EE768 DE FECHA 17 MARZO./2016"/>
    <s v="PLA"/>
    <n v="10"/>
    <x v="0"/>
  </r>
  <r>
    <n v="75"/>
    <n v="5"/>
    <x v="1"/>
    <n v="380562016"/>
    <s v="Atendido"/>
    <s v="2016ER914"/>
    <x v="26"/>
    <d v="2016-03-29T00:00:00"/>
    <d v="2016-03-17T00:00:00"/>
    <s v="MARIA DEL PILAR CORTES MUÑOZ"/>
    <s v="PRESENTAS DERECHO DE PETIICION SOLIITANDO MODIFICAR LA EXPEDICION DE LOS CERTIFICADOS DE INFORMACION LANORAL CON DESTINO A EMISION DE BONO PENSIONAL"/>
    <x v="0"/>
    <x v="5"/>
    <s v="ESCRITO"/>
    <s v="OFICIO 2016EE773 DE FECHA 17 MARZO./2016"/>
    <s v="DES"/>
    <n v="10"/>
    <x v="0"/>
  </r>
  <r>
    <n v="76"/>
    <n v="6"/>
    <x v="1"/>
    <n v="401802016"/>
    <s v="Atendido"/>
    <s v="2016ER977"/>
    <x v="27"/>
    <d v="2016-03-31T00:00:00"/>
    <d v="2016-03-29T00:00:00"/>
    <s v="CARLOS DAVID CHAVES GUTIERREZ"/>
    <s v="El señor Carlos solicita mediante derecho de petición reintegro al programa misión Bogotá."/>
    <x v="0"/>
    <x v="6"/>
    <s v="ESCRITO"/>
    <s v="OFICIO 2016EE826 DE FECHA 29 MARZO./2016"/>
    <s v="MIS"/>
    <n v="13"/>
    <x v="0"/>
  </r>
  <r>
    <n v="77"/>
    <n v="7"/>
    <x v="1"/>
    <n v="401922016"/>
    <s v="Atendido"/>
    <s v="2016ER978"/>
    <x v="27"/>
    <d v="2016-03-31T00:00:00"/>
    <d v="2016-03-29T00:00:00"/>
    <s v="HÉCTOR ALONSO MUÑOZ VEGA"/>
    <s v="El señor Héctor solicita mediante derecho de petición reintegro al programa misión Bogotá."/>
    <x v="0"/>
    <x v="6"/>
    <s v="ESCRITO"/>
    <s v="OFICIO 2016EE825 DE FECHA 29 MARZO./2016"/>
    <s v="MIS"/>
    <n v="13"/>
    <x v="0"/>
  </r>
  <r>
    <n v="78"/>
    <n v="8"/>
    <x v="1"/>
    <n v="412962016"/>
    <s v="Atendido"/>
    <s v="2016ER999"/>
    <x v="28"/>
    <d v="2016-04-01T00:00:00"/>
    <d v="2016-03-29T00:00:00"/>
    <s v="WILMER ANTONIO AVILA"/>
    <s v="INTERPONE D.P  SOLICITANDO REINTEGRO AL TRABAJO"/>
    <x v="0"/>
    <x v="6"/>
    <s v="ESCRITO"/>
    <s v="OFICIO 2016EE827 DE FECHA 29 MARZO./2016"/>
    <s v="MIS"/>
    <n v="12"/>
    <x v="0"/>
  </r>
  <r>
    <n v="79"/>
    <n v="9"/>
    <x v="1"/>
    <n v="402092016"/>
    <s v="Atendido"/>
    <s v="N/A"/>
    <x v="28"/>
    <d v="2016-04-01T00:00:00"/>
    <d v="2016-03-15T00:00:00"/>
    <s v="DIEGO STEVE GARCIA"/>
    <s v=" ADOLFO LEON REY DE  PERSONERIA DE BOGOTA TRASLADA SOLICITUD DEL SEÑOR DIEGO STEVE GARCIA GARCI"/>
    <x v="0"/>
    <x v="5"/>
    <s v="WEB"/>
    <s v="OFICIO 2016EE741 DE FECHA 15 MARZO./2016"/>
    <s v="DES"/>
    <n v="5"/>
    <x v="0"/>
  </r>
  <r>
    <n v="80"/>
    <n v="10"/>
    <x v="6"/>
    <n v="434862016"/>
    <s v="Atendido"/>
    <s v="YAG027"/>
    <x v="29"/>
    <d v="2016-04-06T00:00:00"/>
    <d v="2016-03-30T00:00:00"/>
    <s v="LEYDER LONDOÑO"/>
    <s v="Usuaria de la UPI PERDOMO sugiere que vuelvan a otorgar los convenios para los estudiantes ya que desde noviembre los quitaron."/>
    <x v="1"/>
    <x v="0"/>
    <s v="BUZÓN"/>
    <s v="OFICIO 2016IE2597 DE FECHA 30 MARZO./2016"/>
    <s v="SUB"/>
    <n v="10"/>
    <x v="0"/>
  </r>
  <r>
    <n v="81"/>
    <n v="11"/>
    <x v="6"/>
    <n v="434902016"/>
    <s v="Atendido"/>
    <s v="YAG028"/>
    <x v="29"/>
    <d v="2016-04-06T00:00:00"/>
    <d v="2016-03-30T00:00:00"/>
    <s v="YORK ERICSON AGUILAR  GOMEZ"/>
    <s v="Usuaria de la UPI CAAJJ sugiere vuelvan abrir el taller de cerámicas ya que se encuentra el espacio pero no esta el profesor."/>
    <x v="1"/>
    <x v="0"/>
    <s v="BUZÓN"/>
    <s v="OFICIO 2016EE839 DE FECHA 30 MARZO./2016"/>
    <s v="SUB"/>
    <n v="10"/>
    <x v="0"/>
  </r>
  <r>
    <n v="82"/>
    <n v="12"/>
    <x v="6"/>
    <n v="434962016"/>
    <s v="Atendido"/>
    <s v="YAG029"/>
    <x v="29"/>
    <d v="2016-04-06T00:00:00"/>
    <d v="2016-03-30T00:00:00"/>
    <s v="JAVIER MARTINEZ"/>
    <s v="Usuaria de la UPI CAAJJ sugiere mas materiales para el taller de maderas tales como: pinturas, madera, etc."/>
    <x v="1"/>
    <x v="0"/>
    <s v="BUZÓN"/>
    <s v="OFICIO 2016EE838 DE MARZO 30 DE 2016"/>
    <s v="SUB"/>
    <n v="10"/>
    <x v="0"/>
  </r>
  <r>
    <n v="83"/>
    <n v="13"/>
    <x v="6"/>
    <n v="434992016"/>
    <s v="Atendido"/>
    <s v="YAG030"/>
    <x v="29"/>
    <d v="2016-04-06T00:00:00"/>
    <d v="2016-04-01T00:00:00"/>
    <s v="LORENA RINCON"/>
    <s v="Usuaria de la UPI ESCNNA solicita que la cambien de unidad y que sean mas amplios los espacios. "/>
    <x v="1"/>
    <x v="0"/>
    <s v="BUZÓN"/>
    <s v="OFICIO 2016EE861 DE FECHA 01 ABRIL./2016"/>
    <s v="SUB"/>
    <n v="12"/>
    <x v="0"/>
  </r>
  <r>
    <n v="84"/>
    <n v="14"/>
    <x v="1"/>
    <n v="443342016"/>
    <s v="Atendido"/>
    <s v="N/A"/>
    <x v="30"/>
    <d v="2016-04-08T00:00:00"/>
    <d v="2016-04-01T00:00:00"/>
    <s v="ANÓNIMO"/>
    <s v="CUANDO SE EFECTUAN LOS PAGOS DE SUBSIDIO A LOS JOVENES DEL PROYECTO JOVENES EN PAZ??"/>
    <x v="0"/>
    <x v="4"/>
    <s v="WEB"/>
    <s v="OFICIO 2016EE863 DE FECHA 01 ABRIL./2016"/>
    <s v="SUB"/>
    <n v="10"/>
    <x v="0"/>
  </r>
  <r>
    <n v="85"/>
    <n v="15"/>
    <x v="1"/>
    <n v="450642016"/>
    <s v="Atendido"/>
    <s v="2016ER1097"/>
    <x v="30"/>
    <d v="2016-04-08T00:00:00"/>
    <d v="2016-03-17T00:00:00"/>
    <s v="VICTOR ALFONSO HERNANDEZ"/>
    <s v="GUIA DE MISION BOGOTA PRESENTA INFORME SOBRE ABUSO DE AUTORIDAD POR PATRULLEROS DE ESTACION DE TRANSMILENIO DONDE SE ENCONTRABA EN HORARIO DE INTERVENCION.                                                                                                                                                                                                                                                                                                                                                                                                                                                                                                                                                                                                                                                                                                                                                                                                                                                                                                                                                                                                                                                                                                                                                                                                                                                                      "/>
    <x v="0"/>
    <x v="6"/>
    <s v="ESCRITO"/>
    <s v="OFICIO 2016IE2375 DE FECHA 17 MARZO./2016"/>
    <s v="MIS"/>
    <n v="2"/>
    <x v="0"/>
  </r>
  <r>
    <n v="86"/>
    <n v="16"/>
    <x v="1"/>
    <n v="450562016"/>
    <s v="Atendido"/>
    <s v="2016ER1096"/>
    <x v="30"/>
    <d v="2016-04-08T00:00:00"/>
    <d v="2016-03-17T00:00:00"/>
    <s v="JOHANA ANDREA PEÑA"/>
    <s v="GUIA DE MISION BOGOTA PRESENTA INFORME SOBRE ABUSO DE AUTORIDAD POR PATRULLEROS DE ESTACION DE TRANSMILENIO DONDE SE ENCONTRABA EN HORARIO DE INTERVENCION.                                                                                                                                                                                                                                                                                                                                                                                                                                                                                                                                                                                                                                                                                                                                                                                                                                                                                                                                                                                                                                                                                                                                                                                                                                                                      "/>
    <x v="0"/>
    <x v="6"/>
    <s v="ESCRITO"/>
    <s v="OFICIO 2016IE2375 DE FECHA 17 MARZO./2016"/>
    <s v="MIS"/>
    <n v="2"/>
    <x v="0"/>
  </r>
  <r>
    <n v="87"/>
    <n v="17"/>
    <x v="6"/>
    <n v="460552016"/>
    <s v="Atendido"/>
    <s v="YAG031"/>
    <x v="31"/>
    <d v="2016-04-11T00:00:00"/>
    <d v="2016-03-30T00:00:00"/>
    <s v="MAGALI INGRID GARZON"/>
    <s v="Usuaria de la UPI ARCADIA sugiere que arreglen el parque, también algunos arreglos de la unidad y algunas salidas pedagógicas."/>
    <x v="1"/>
    <x v="0"/>
    <s v="BUZÓN"/>
    <s v="OFICIO 2016IE2598 DE FECHA 30 MARZO./2016"/>
    <s v="SUB"/>
    <n v="7"/>
    <x v="0"/>
  </r>
  <r>
    <n v="88"/>
    <n v="18"/>
    <x v="6"/>
    <n v="460602016"/>
    <s v="Atendido"/>
    <s v="YAG032"/>
    <x v="31"/>
    <d v="2016-04-11T00:00:00"/>
    <d v="2016-03-30T00:00:00"/>
    <s v="CAROL M."/>
    <s v="Usuaria de la UPI ARCADIA sugiere que arreglen los talleres y otros arreglos de la unidad "/>
    <x v="1"/>
    <x v="0"/>
    <s v="BUZÓN"/>
    <s v="OFICIO 2016IE2599 DE FECHA 30 MARZO./2016"/>
    <s v="SUB"/>
    <n v="7"/>
    <x v="0"/>
  </r>
  <r>
    <n v="89"/>
    <n v="19"/>
    <x v="6"/>
    <n v="460662016"/>
    <s v="Atendido"/>
    <s v="YAG033"/>
    <x v="31"/>
    <d v="2016-04-11T00:00:00"/>
    <d v="2016-03-30T00:00:00"/>
    <s v="ANGELA CAROLINA CRUZ GARZON"/>
    <s v="Usuaria de la UPI ARCADIA sugiere que las dejen ver mas películas, unas salidas pedagógicas y otras sugerencias mas."/>
    <x v="1"/>
    <x v="0"/>
    <s v="ESCRITO"/>
    <s v="OFICIO 2016IE2600 DE FECHA 30 MARZO./2016"/>
    <s v="SUB"/>
    <n v="7"/>
    <x v="0"/>
  </r>
  <r>
    <n v="90"/>
    <n v="20"/>
    <x v="6"/>
    <n v="478462016"/>
    <s v="Atendido"/>
    <s v="YAG034"/>
    <x v="32"/>
    <d v="2016-04-13T00:00:00"/>
    <d v="2016-03-30T00:00:00"/>
    <s v="ANDRES BUITRAGO PINEDA"/>
    <s v=" Y OTROS BENEFICIARIOS DE UPI BOSA SIGUEREN QUE LA SEÑORA JEFE DE LA COCINA CONTINUE EN EL PROCE3SO"/>
    <x v="0"/>
    <x v="0"/>
    <s v="BUZÓN"/>
    <s v="OFICIO 2016IE2594 DE FECHA 30 MARZO./2016"/>
    <s v="SUB"/>
    <n v="5"/>
    <x v="0"/>
  </r>
  <r>
    <n v="91"/>
    <n v="21"/>
    <x v="6"/>
    <n v="478522016"/>
    <s v="Atendido"/>
    <s v="YAG035"/>
    <x v="32"/>
    <d v="2016-04-13T00:00:00"/>
    <d v="2016-03-18T00:00:00"/>
    <s v="ANÓNIMO"/>
    <s v="BENEFICIARIO ANONIMO DE COMEDOR USME  SUGIEREN QUE LAS VERDURAS SEAN PREPARAS CON MAS SAZON PARA QUE LOS NIÑOS LAS CONSUMAN MAS  FACILMENTE."/>
    <x v="8"/>
    <x v="2"/>
    <s v="BUZÓN"/>
    <s v="OFICIO 2016EE792 MARZO 18 DE 2013"/>
    <s v="COM"/>
    <n v="0"/>
    <x v="0"/>
  </r>
  <r>
    <n v="92"/>
    <n v="22"/>
    <x v="6"/>
    <n v="478582016"/>
    <s v="Atendido"/>
    <s v="YAG036"/>
    <x v="32"/>
    <d v="2016-04-13T00:00:00"/>
    <d v="2016-03-18T00:00:00"/>
    <s v="ANÓNIMO"/>
    <s v="BENEFICIARIO ANONIMO DE COMEDOR USME  AGRADECE LOS SERVICIOS DEL COMEDOR  Y SUGIEREN MAS COLABORACION DE LOS BENEFICIARIOS PARA NO PEDER MAS CUPOS."/>
    <x v="6"/>
    <x v="2"/>
    <s v="BUZÓN"/>
    <s v="OFICIO 2016EE791 DE MARZO 18 DE 2016"/>
    <s v="COM"/>
    <n v="0"/>
    <x v="0"/>
  </r>
  <r>
    <n v="93"/>
    <n v="23"/>
    <x v="5"/>
    <n v="478602016"/>
    <s v="Atendido"/>
    <s v="YAG037"/>
    <x v="32"/>
    <d v="2016-04-13T00:00:00"/>
    <d v="2016-03-30T00:00:00"/>
    <s v="ANGELA LEON"/>
    <s v="DE UPI LA 27 RECLAMA POR LA FALTA DE PROFESORES"/>
    <x v="0"/>
    <x v="0"/>
    <s v="BUZÓN"/>
    <s v="OFICIO 2016IE2592 DE MARZO 30 DE 2016"/>
    <s v="SUB"/>
    <n v="5"/>
    <x v="0"/>
  </r>
  <r>
    <n v="94"/>
    <n v="24"/>
    <x v="5"/>
    <n v="478652016"/>
    <s v="Atendido"/>
    <s v="YAG038"/>
    <x v="32"/>
    <d v="2016-04-13T00:00:00"/>
    <d v="2016-03-30T00:00:00"/>
    <s v="ANGELA LEON"/>
    <s v="DE UPI LA 27  SOLICITA UN PROFESOR DE JU-JITSU Y JUDO"/>
    <x v="0"/>
    <x v="0"/>
    <s v="BUZÓN"/>
    <s v="OFICIO 2016IE2595 DE MARZO 30 DE 2016"/>
    <s v="SUB"/>
    <n v="5"/>
    <x v="0"/>
  </r>
  <r>
    <n v="95"/>
    <n v="25"/>
    <x v="5"/>
    <n v="478902016"/>
    <s v="Atendido"/>
    <s v="YAG039"/>
    <x v="32"/>
    <d v="2016-04-13T00:00:00"/>
    <d v="2016-03-30T00:00:00"/>
    <s v="LADY DAYANA PARRADO"/>
    <s v="DE UPI LA 27  SOLICITA UN PROFESORES DE JU-JITSU, JUDO Y PERCUCION, ASI COMO SOLICITA LES ENVIEN UTILES ESCOLARES"/>
    <x v="0"/>
    <x v="0"/>
    <s v="BUZÓN"/>
    <s v="OFICIO 2016IE2593 DE MARZO 30 DE 2016"/>
    <s v="SUB"/>
    <n v="5"/>
    <x v="0"/>
  </r>
  <r>
    <n v="96"/>
    <n v="26"/>
    <x v="5"/>
    <n v="478982016"/>
    <s v="Atendido"/>
    <s v="YAG040"/>
    <x v="32"/>
    <d v="2016-04-13T00:00:00"/>
    <d v="2016-03-30T00:00:00"/>
    <s v="AURA CRISTINA ROCHA"/>
    <s v="AGRADECE  Y SOLICITA CONTRATEN PROFESORES"/>
    <x v="0"/>
    <x v="0"/>
    <s v="BUZÓN"/>
    <s v="OFICIO 2016IE2596 DE MARZO 30 DE 2016"/>
    <s v="SUB"/>
    <n v="5"/>
    <x v="0"/>
  </r>
  <r>
    <n v="97"/>
    <n v="27"/>
    <x v="3"/>
    <n v="488412016"/>
    <s v="Atendido"/>
    <s v="2016ER1154"/>
    <x v="33"/>
    <d v="2016-04-14T00:00:00"/>
    <d v="2016-04-12T00:00:00"/>
    <s v="SERGIO CASTILLO"/>
    <s v="SERGIO A CASTILLO INTERPONE DERECHO DE PETICIÓN INFORMANDO LA NO CONFORMIDAD POR LA RESPUESTA DADA EN EL REQUERIMIENTO 322152016"/>
    <x v="0"/>
    <x v="0"/>
    <s v="ESCRITO"/>
    <s v="OFICIO 2016EE995 DE ABRIL 12 DE 2016"/>
    <s v="SUB"/>
    <n v="13"/>
    <x v="0"/>
  </r>
  <r>
    <n v="98"/>
    <n v="28"/>
    <x v="0"/>
    <n v="499782016"/>
    <s v="Atendido"/>
    <s v="201ER1174"/>
    <x v="34"/>
    <d v="2016-04-15T00:00:00"/>
    <d v="2016-04-07T00:00:00"/>
    <s v="NATALIA MARLEN CARRION BONIFACIO"/>
    <s v="Estudiantes de la ESAP presenta derecho de petición solicitando información sobro programas del Idipron."/>
    <x v="0"/>
    <x v="0"/>
    <s v="ESCRITO"/>
    <s v="OFICIO 2016EE941 DE FECHA 07 ABRIL./2016"/>
    <s v="SUB"/>
    <n v="9"/>
    <x v="0"/>
  </r>
  <r>
    <n v="99"/>
    <n v="29"/>
    <x v="3"/>
    <n v="479652016"/>
    <s v="Atendido"/>
    <s v="N/A"/>
    <x v="34"/>
    <d v="2016-04-15T00:00:00"/>
    <d v="2016-04-05T00:00:00"/>
    <s v="ANÓNIMO"/>
    <s v="BUENOS DIAS, MI INCONFORMIDAD RADICA EN LA MALA ATENCION AL USUARIO POR PARTE DE LA FUNCIONARIA DE CONTABILIDAD Y TESORERIA GABRIELA, DE LA ENTIDAD IDIPRON, QUIEN ES MUY GROSERA PORQUE LE PIDAN INFORMACION DE PAGOS PENDIENTES Y SE NOTA QUE NO SABE NADA DE COMOP DAR INFORMACION AMABLEMENTE. OJALA LA ADMINISTRACION TOME EN CUENTA ESTE TIPO DE QUEJAS Y CONTRATEN PERSONAL CAPACITADO Y AMABLE.."/>
    <x v="5"/>
    <x v="4"/>
    <s v="WEB"/>
    <s v="OFICIO 2016EE906 DE FECHA 05 ABRIL./2016"/>
    <s v="SUB"/>
    <n v="7"/>
    <x v="0"/>
  </r>
  <r>
    <n v="100"/>
    <n v="30"/>
    <x v="1"/>
    <n v="512562016"/>
    <s v="En Tramite"/>
    <s v="2016ER1217"/>
    <x v="35"/>
    <d v="2016-04-19T00:00:00"/>
    <m/>
    <s v="JAIME ALEXANDER CAMARGO"/>
    <s v="Presenta derecho de petición para determinar la duración en tiempo de la sanción en el RUP a la empresa INCTEC"/>
    <x v="0"/>
    <x v="3"/>
    <s v="ESCRITO"/>
    <m/>
    <s v="JUR"/>
    <n v="-30323"/>
    <x v="2"/>
  </r>
  <r>
    <n v="101"/>
    <n v="31"/>
    <x v="1"/>
    <n v="518712016"/>
    <s v="En Tramite"/>
    <s v="2016ER1222"/>
    <x v="35"/>
    <d v="2016-04-19T00:00:00"/>
    <m/>
    <s v="ÓSCAR MAURICIO BUITRAGO MARTÍNEZ"/>
    <s v="Presenta derecho de petición solicitando información de centros cerrados anteriormente."/>
    <x v="0"/>
    <x v="0"/>
    <s v="ESCRITO"/>
    <m/>
    <s v="SUB"/>
    <n v="-30323"/>
    <x v="2"/>
  </r>
  <r>
    <n v="102"/>
    <n v="32"/>
    <x v="1"/>
    <n v="518802016"/>
    <s v="Atendido"/>
    <s v="2016ER1223"/>
    <x v="35"/>
    <d v="2016-04-19T00:00:00"/>
    <d v="2016-04-06T00:00:00"/>
    <s v="ÓSCAR MAURICIO BUITRAGO MARTÍNEZ"/>
    <s v="Presenta derecho de petición solicitando información de centros cerrados anteriormente."/>
    <x v="0"/>
    <x v="0"/>
    <s v="ESCRITO"/>
    <s v="OICIO 2016EE0952 DE ABRIL 6 DE 2016"/>
    <s v="SUB"/>
    <n v="6"/>
    <x v="0"/>
  </r>
  <r>
    <n v="103"/>
    <n v="33"/>
    <x v="1"/>
    <n v="518832016"/>
    <s v="Atendido"/>
    <s v="2016ER1224"/>
    <x v="35"/>
    <d v="2016-04-19T00:00:00"/>
    <d v="2016-04-08T00:00:00"/>
    <s v="ÓSCAR MAURICIO BUITRAGO MARTÍNEZ"/>
    <s v="Presenta derecho de petición solicitando información de actas de reuniones en los años 2008 y 2009."/>
    <x v="0"/>
    <x v="0"/>
    <s v="ESCRITO"/>
    <s v="OICIO 2016EE0908 DE ABRIL 8 DE 2016"/>
    <s v="SUB"/>
    <n v="8"/>
    <x v="0"/>
  </r>
  <r>
    <n v="104"/>
    <n v="34"/>
    <x v="1"/>
    <n v="518872016"/>
    <s v="Atendido"/>
    <s v="2016ER1225"/>
    <x v="35"/>
    <d v="2016-04-19T00:00:00"/>
    <d v="2016-04-08T00:00:00"/>
    <s v="ÓSCAR MAURICIO BUITRAGO MARTÍNEZ"/>
    <s v="Presenta derecho de petición solicitando información de los balances en los años 2008 y 2009."/>
    <x v="0"/>
    <x v="0"/>
    <s v="ESCRITO"/>
    <s v="OICIO 2016EE0958 DE ABRIL 8 DE 2016"/>
    <s v="SUB"/>
    <n v="8"/>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2" cacheId="1"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121:E126" firstHeaderRow="1" firstDataRow="2" firstDataCol="1"/>
  <pivotFields count="18">
    <pivotField showAll="0"/>
    <pivotField showAll="0"/>
    <pivotField showAll="0"/>
    <pivotField showAll="0"/>
    <pivotField showAll="0"/>
    <pivotField showAll="0"/>
    <pivotField axis="axisCol" numFmtId="15" showAll="0">
      <items count="15">
        <item x="0"/>
        <item x="1"/>
        <item x="2"/>
        <item x="3"/>
        <item x="4"/>
        <item x="5"/>
        <item x="6"/>
        <item x="7"/>
        <item x="8"/>
        <item x="9"/>
        <item x="10"/>
        <item x="11"/>
        <item x="12"/>
        <item x="13"/>
        <item t="default"/>
      </items>
    </pivotField>
    <pivotField numFmtId="15" showAll="0"/>
    <pivotField showAll="0"/>
    <pivotField showAll="0"/>
    <pivotField showAll="0"/>
    <pivotField showAll="0"/>
    <pivotField showAll="0"/>
    <pivotField showAll="0"/>
    <pivotField showAll="0"/>
    <pivotField showAll="0"/>
    <pivotField numFmtId="1" showAll="0"/>
    <pivotField axis="axisRow" dataField="1" showAll="0">
      <items count="4">
        <item x="0"/>
        <item x="2"/>
        <item x="1"/>
        <item t="default"/>
      </items>
    </pivotField>
  </pivotFields>
  <rowFields count="1">
    <field x="17"/>
  </rowFields>
  <rowItems count="4">
    <i>
      <x/>
    </i>
    <i>
      <x v="1"/>
    </i>
    <i>
      <x v="2"/>
    </i>
    <i t="grand">
      <x/>
    </i>
  </rowItems>
  <colFields count="1">
    <field x="6"/>
  </colFields>
  <colItems count="4">
    <i>
      <x v="1"/>
    </i>
    <i>
      <x v="2"/>
    </i>
    <i>
      <x v="3"/>
    </i>
    <i t="grand">
      <x/>
    </i>
  </colItems>
  <dataFields count="1">
    <dataField name="Cuenta de RANGOS DE CONTESTACION" fld="1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0.xml><?xml version="1.0" encoding="utf-8"?>
<pivotTableDefinition xmlns="http://schemas.openxmlformats.org/spreadsheetml/2006/main" name="Tabla dinámica13" cacheId="1"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185:E196" firstHeaderRow="1" firstDataRow="2" firstDataCol="1"/>
  <pivotFields count="18">
    <pivotField showAll="0"/>
    <pivotField showAll="0"/>
    <pivotField dataField="1" showAll="0"/>
    <pivotField showAll="0"/>
    <pivotField showAll="0"/>
    <pivotField showAll="0"/>
    <pivotField axis="axisCol" numFmtId="15" showAll="0">
      <items count="15">
        <item x="0"/>
        <item x="1"/>
        <item x="2"/>
        <item x="3"/>
        <item x="4"/>
        <item x="5"/>
        <item x="6"/>
        <item x="7"/>
        <item x="8"/>
        <item x="9"/>
        <item x="10"/>
        <item x="11"/>
        <item x="12"/>
        <item x="13"/>
        <item t="default"/>
      </items>
    </pivotField>
    <pivotField numFmtId="15" showAll="0"/>
    <pivotField showAll="0"/>
    <pivotField showAll="0"/>
    <pivotField showAll="0"/>
    <pivotField showAll="0"/>
    <pivotField axis="axisRow" showAll="0" sortType="ascending">
      <items count="10">
        <item x="8"/>
        <item x="2"/>
        <item x="5"/>
        <item x="7"/>
        <item x="3"/>
        <item x="6"/>
        <item x="1"/>
        <item x="4"/>
        <item x="0"/>
        <item t="default"/>
      </items>
      <autoSortScope>
        <pivotArea dataOnly="0" outline="0" fieldPosition="0">
          <references count="1">
            <reference field="4294967294" count="1" selected="0">
              <x v="0"/>
            </reference>
          </references>
        </pivotArea>
      </autoSortScope>
    </pivotField>
    <pivotField showAll="0"/>
    <pivotField showAll="0"/>
    <pivotField showAll="0"/>
    <pivotField numFmtId="1" showAll="0"/>
    <pivotField showAll="0"/>
  </pivotFields>
  <rowFields count="1">
    <field x="12"/>
  </rowFields>
  <rowItems count="10">
    <i>
      <x v="3"/>
    </i>
    <i>
      <x v="6"/>
    </i>
    <i>
      <x v="4"/>
    </i>
    <i>
      <x v="1"/>
    </i>
    <i>
      <x v="7"/>
    </i>
    <i>
      <x v="2"/>
    </i>
    <i>
      <x/>
    </i>
    <i>
      <x v="5"/>
    </i>
    <i>
      <x v="8"/>
    </i>
    <i t="grand">
      <x/>
    </i>
  </rowItems>
  <colFields count="1">
    <field x="6"/>
  </colFields>
  <colItems count="4">
    <i>
      <x v="1"/>
    </i>
    <i>
      <x v="2"/>
    </i>
    <i>
      <x v="3"/>
    </i>
    <i t="grand">
      <x/>
    </i>
  </colItems>
  <dataFields count="1">
    <dataField name="Cuenta de TIPO REQ." fld="2" subtotal="count" baseField="0" baseItem="0"/>
  </dataFields>
  <formats count="9">
    <format dxfId="36">
      <pivotArea grandCol="1" outline="0" collapsedLevelsAreSubtotals="1" fieldPosition="0"/>
    </format>
    <format dxfId="35">
      <pivotArea type="topRight" dataOnly="0" labelOnly="1" outline="0" offset="C1" fieldPosition="0"/>
    </format>
    <format dxfId="34">
      <pivotArea grandCol="1" outline="0" collapsedLevelsAreSubtotals="1" fieldPosition="0"/>
    </format>
    <format dxfId="33">
      <pivotArea type="all" dataOnly="0" outline="0" fieldPosition="0"/>
    </format>
    <format dxfId="32">
      <pivotArea outline="0" collapsedLevelsAreSubtotals="1" fieldPosition="0"/>
    </format>
    <format dxfId="31">
      <pivotArea dataOnly="0" labelOnly="1" fieldPosition="0">
        <references count="1">
          <reference field="12" count="0"/>
        </references>
      </pivotArea>
    </format>
    <format dxfId="30">
      <pivotArea dataOnly="0" labelOnly="1" grandRow="1" outline="0" fieldPosition="0"/>
    </format>
    <format dxfId="29">
      <pivotArea dataOnly="0" labelOnly="1" fieldPosition="0">
        <references count="1">
          <reference field="6" count="3">
            <x v="1"/>
            <x v="2"/>
            <x v="3"/>
          </reference>
        </references>
      </pivotArea>
    </format>
    <format dxfId="28">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1.xml><?xml version="1.0" encoding="utf-8"?>
<pivotTableDefinition xmlns="http://schemas.openxmlformats.org/spreadsheetml/2006/main" name="Tabla dinámica2" cacheId="1"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61:E72" firstHeaderRow="1" firstDataRow="2" firstDataCol="1"/>
  <pivotFields count="18">
    <pivotField showAll="0"/>
    <pivotField showAll="0"/>
    <pivotField showAll="0"/>
    <pivotField showAll="0"/>
    <pivotField showAll="0"/>
    <pivotField showAll="0"/>
    <pivotField axis="axisCol" numFmtId="15" showAll="0">
      <items count="15">
        <item x="0"/>
        <item x="1"/>
        <item x="2"/>
        <item x="3"/>
        <item x="4"/>
        <item x="5"/>
        <item x="6"/>
        <item x="7"/>
        <item x="8"/>
        <item x="9"/>
        <item x="10"/>
        <item x="11"/>
        <item x="12"/>
        <item x="13"/>
        <item t="default"/>
      </items>
    </pivotField>
    <pivotField numFmtId="15" showAll="0"/>
    <pivotField showAll="0"/>
    <pivotField showAll="0"/>
    <pivotField showAll="0"/>
    <pivotField showAll="0"/>
    <pivotField axis="axisRow" dataField="1" showAll="0" sortType="ascending">
      <items count="10">
        <item x="8"/>
        <item x="2"/>
        <item x="5"/>
        <item x="7"/>
        <item x="3"/>
        <item x="6"/>
        <item x="1"/>
        <item x="4"/>
        <item x="0"/>
        <item t="default"/>
      </items>
      <autoSortScope>
        <pivotArea dataOnly="0" outline="0" fieldPosition="0">
          <references count="1">
            <reference field="4294967294" count="1" selected="0">
              <x v="0"/>
            </reference>
          </references>
        </pivotArea>
      </autoSortScope>
    </pivotField>
    <pivotField showAll="0"/>
    <pivotField showAll="0"/>
    <pivotField showAll="0"/>
    <pivotField numFmtId="1" showAll="0"/>
    <pivotField showAll="0"/>
  </pivotFields>
  <rowFields count="1">
    <field x="12"/>
  </rowFields>
  <rowItems count="10">
    <i>
      <x v="3"/>
    </i>
    <i>
      <x v="6"/>
    </i>
    <i>
      <x v="4"/>
    </i>
    <i>
      <x v="1"/>
    </i>
    <i>
      <x v="7"/>
    </i>
    <i>
      <x v="2"/>
    </i>
    <i>
      <x/>
    </i>
    <i>
      <x v="5"/>
    </i>
    <i>
      <x v="8"/>
    </i>
    <i t="grand">
      <x/>
    </i>
  </rowItems>
  <colFields count="1">
    <field x="6"/>
  </colFields>
  <colItems count="4">
    <i>
      <x v="1"/>
    </i>
    <i>
      <x v="2"/>
    </i>
    <i>
      <x v="3"/>
    </i>
    <i t="grand">
      <x/>
    </i>
  </colItems>
  <dataFields count="1">
    <dataField name="Cuenta de CLASIFICADO A" fld="12" subtotal="count" baseField="0" baseItem="0"/>
  </dataFields>
  <formats count="28">
    <format dxfId="64">
      <pivotArea outline="0" collapsedLevelsAreSubtotals="1" fieldPosition="0"/>
    </format>
    <format dxfId="63">
      <pivotArea collapsedLevelsAreSubtotals="1" fieldPosition="0">
        <references count="1">
          <reference field="12" count="1">
            <x v="0"/>
          </reference>
        </references>
      </pivotArea>
    </format>
    <format dxfId="62">
      <pivotArea dataOnly="0" labelOnly="1" fieldPosition="0">
        <references count="1">
          <reference field="12" count="1">
            <x v="0"/>
          </reference>
        </references>
      </pivotArea>
    </format>
    <format dxfId="61">
      <pivotArea collapsedLevelsAreSubtotals="1" fieldPosition="0">
        <references count="1">
          <reference field="12" count="1">
            <x v="1"/>
          </reference>
        </references>
      </pivotArea>
    </format>
    <format dxfId="60">
      <pivotArea dataOnly="0" labelOnly="1" fieldPosition="0">
        <references count="1">
          <reference field="12" count="1">
            <x v="1"/>
          </reference>
        </references>
      </pivotArea>
    </format>
    <format dxfId="59">
      <pivotArea collapsedLevelsAreSubtotals="1" fieldPosition="0">
        <references count="1">
          <reference field="12" count="1">
            <x v="2"/>
          </reference>
        </references>
      </pivotArea>
    </format>
    <format dxfId="58">
      <pivotArea dataOnly="0" labelOnly="1" fieldPosition="0">
        <references count="1">
          <reference field="12" count="1">
            <x v="2"/>
          </reference>
        </references>
      </pivotArea>
    </format>
    <format dxfId="57">
      <pivotArea collapsedLevelsAreSubtotals="1" fieldPosition="0">
        <references count="1">
          <reference field="12" count="1">
            <x v="3"/>
          </reference>
        </references>
      </pivotArea>
    </format>
    <format dxfId="56">
      <pivotArea dataOnly="0" labelOnly="1" fieldPosition="0">
        <references count="1">
          <reference field="12" count="1">
            <x v="3"/>
          </reference>
        </references>
      </pivotArea>
    </format>
    <format dxfId="55">
      <pivotArea collapsedLevelsAreSubtotals="1" fieldPosition="0">
        <references count="1">
          <reference field="12" count="1">
            <x v="4"/>
          </reference>
        </references>
      </pivotArea>
    </format>
    <format dxfId="54">
      <pivotArea dataOnly="0" labelOnly="1" fieldPosition="0">
        <references count="1">
          <reference field="12" count="1">
            <x v="4"/>
          </reference>
        </references>
      </pivotArea>
    </format>
    <format dxfId="53">
      <pivotArea collapsedLevelsAreSubtotals="1" fieldPosition="0">
        <references count="1">
          <reference field="12" count="1">
            <x v="5"/>
          </reference>
        </references>
      </pivotArea>
    </format>
    <format dxfId="52">
      <pivotArea dataOnly="0" labelOnly="1" fieldPosition="0">
        <references count="1">
          <reference field="12" count="1">
            <x v="5"/>
          </reference>
        </references>
      </pivotArea>
    </format>
    <format dxfId="51">
      <pivotArea collapsedLevelsAreSubtotals="1" fieldPosition="0">
        <references count="1">
          <reference field="12" count="1">
            <x v="6"/>
          </reference>
        </references>
      </pivotArea>
    </format>
    <format dxfId="50">
      <pivotArea dataOnly="0" labelOnly="1" fieldPosition="0">
        <references count="1">
          <reference field="12" count="1">
            <x v="6"/>
          </reference>
        </references>
      </pivotArea>
    </format>
    <format dxfId="49">
      <pivotArea collapsedLevelsAreSubtotals="1" fieldPosition="0">
        <references count="1">
          <reference field="12" count="1">
            <x v="7"/>
          </reference>
        </references>
      </pivotArea>
    </format>
    <format dxfId="48">
      <pivotArea dataOnly="0" labelOnly="1" fieldPosition="0">
        <references count="1">
          <reference field="12" count="1">
            <x v="7"/>
          </reference>
        </references>
      </pivotArea>
    </format>
    <format dxfId="47">
      <pivotArea collapsedLevelsAreSubtotals="1" fieldPosition="0">
        <references count="1">
          <reference field="12" count="1">
            <x v="8"/>
          </reference>
        </references>
      </pivotArea>
    </format>
    <format dxfId="46">
      <pivotArea dataOnly="0" labelOnly="1" fieldPosition="0">
        <references count="1">
          <reference field="12" count="1">
            <x v="8"/>
          </reference>
        </references>
      </pivotArea>
    </format>
    <format dxfId="45">
      <pivotArea type="all" dataOnly="0" outline="0" fieldPosition="0"/>
    </format>
    <format dxfId="44">
      <pivotArea outline="0" collapsedLevelsAreSubtotals="1" fieldPosition="0"/>
    </format>
    <format dxfId="43">
      <pivotArea dataOnly="0" labelOnly="1" fieldPosition="0">
        <references count="1">
          <reference field="12" count="0"/>
        </references>
      </pivotArea>
    </format>
    <format dxfId="42">
      <pivotArea dataOnly="0" labelOnly="1" grandRow="1" outline="0" fieldPosition="0"/>
    </format>
    <format dxfId="41">
      <pivotArea dataOnly="0" labelOnly="1" fieldPosition="0">
        <references count="1">
          <reference field="6" count="3">
            <x v="1"/>
            <x v="2"/>
            <x v="3"/>
          </reference>
        </references>
      </pivotArea>
    </format>
    <format dxfId="40">
      <pivotArea dataOnly="0" labelOnly="1" grandCol="1" outline="0" fieldPosition="0"/>
    </format>
    <format dxfId="39">
      <pivotArea grandRow="1" outline="0" collapsedLevelsAreSubtotals="1" fieldPosition="0"/>
    </format>
    <format dxfId="38">
      <pivotArea collapsedLevelsAreSubtotals="1" fieldPosition="0">
        <references count="1">
          <reference field="12" count="0"/>
        </references>
      </pivotArea>
    </format>
    <format dxfId="37">
      <pivotArea dataOnly="0" labelOnly="1" fieldPosition="0">
        <references count="1">
          <reference field="12"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2.xml><?xml version="1.0" encoding="utf-8"?>
<pivotTableDefinition xmlns="http://schemas.openxmlformats.org/spreadsheetml/2006/main" name="Tabla dinámica3" cacheId="1"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101:E144" firstHeaderRow="1" firstDataRow="2" firstDataCol="1"/>
  <pivotFields count="18">
    <pivotField showAll="0"/>
    <pivotField showAll="0"/>
    <pivotField axis="axisRow" showAll="0">
      <items count="9">
        <item x="7"/>
        <item x="0"/>
        <item x="1"/>
        <item x="3"/>
        <item x="5"/>
        <item x="2"/>
        <item x="4"/>
        <item x="6"/>
        <item t="default"/>
      </items>
    </pivotField>
    <pivotField showAll="0"/>
    <pivotField showAll="0"/>
    <pivotField showAll="0"/>
    <pivotField axis="axisCol" numFmtId="15" showAll="0">
      <items count="15">
        <item x="0"/>
        <item x="1"/>
        <item x="2"/>
        <item x="3"/>
        <item x="4"/>
        <item x="5"/>
        <item x="6"/>
        <item x="7"/>
        <item x="8"/>
        <item x="9"/>
        <item x="10"/>
        <item x="11"/>
        <item x="12"/>
        <item x="13"/>
        <item t="default"/>
      </items>
    </pivotField>
    <pivotField numFmtId="15" showAll="0"/>
    <pivotField showAll="0"/>
    <pivotField showAll="0"/>
    <pivotField showAll="0"/>
    <pivotField showAll="0"/>
    <pivotField axis="axisRow" dataField="1" showAll="0" sortType="ascending">
      <items count="10">
        <item x="8"/>
        <item x="2"/>
        <item x="5"/>
        <item x="7"/>
        <item x="3"/>
        <item x="6"/>
        <item x="1"/>
        <item x="4"/>
        <item x="0"/>
        <item t="default"/>
      </items>
      <autoSortScope>
        <pivotArea dataOnly="0" outline="0" fieldPosition="0">
          <references count="1">
            <reference field="4294967294" count="1" selected="0">
              <x v="0"/>
            </reference>
          </references>
        </pivotArea>
      </autoSortScope>
    </pivotField>
    <pivotField showAll="0"/>
    <pivotField showAll="0"/>
    <pivotField showAll="0"/>
    <pivotField numFmtId="1" showAll="0"/>
    <pivotField showAll="0"/>
  </pivotFields>
  <rowFields count="2">
    <field x="12"/>
    <field x="2"/>
  </rowFields>
  <rowItems count="42">
    <i>
      <x v="3"/>
    </i>
    <i r="1">
      <x v="2"/>
    </i>
    <i>
      <x v="6"/>
    </i>
    <i r="1">
      <x v="2"/>
    </i>
    <i r="1">
      <x v="6"/>
    </i>
    <i>
      <x v="4"/>
    </i>
    <i r="1">
      <x v="2"/>
    </i>
    <i r="1">
      <x v="3"/>
    </i>
    <i>
      <x v="1"/>
    </i>
    <i r="1">
      <x/>
    </i>
    <i r="1">
      <x v="1"/>
    </i>
    <i r="1">
      <x v="6"/>
    </i>
    <i r="1">
      <x v="7"/>
    </i>
    <i>
      <x v="7"/>
    </i>
    <i r="1">
      <x v="2"/>
    </i>
    <i r="1">
      <x v="3"/>
    </i>
    <i r="1">
      <x v="5"/>
    </i>
    <i>
      <x v="2"/>
    </i>
    <i r="1">
      <x v="1"/>
    </i>
    <i r="1">
      <x v="2"/>
    </i>
    <i r="1">
      <x v="3"/>
    </i>
    <i r="1">
      <x v="4"/>
    </i>
    <i>
      <x/>
    </i>
    <i r="1">
      <x v="1"/>
    </i>
    <i r="1">
      <x v="2"/>
    </i>
    <i r="1">
      <x v="3"/>
    </i>
    <i r="1">
      <x v="4"/>
    </i>
    <i r="1">
      <x v="6"/>
    </i>
    <i>
      <x v="5"/>
    </i>
    <i r="1">
      <x v="1"/>
    </i>
    <i r="1">
      <x v="2"/>
    </i>
    <i r="1">
      <x v="3"/>
    </i>
    <i r="1">
      <x v="4"/>
    </i>
    <i r="1">
      <x v="6"/>
    </i>
    <i>
      <x v="8"/>
    </i>
    <i r="1">
      <x v="1"/>
    </i>
    <i r="1">
      <x v="2"/>
    </i>
    <i r="1">
      <x v="3"/>
    </i>
    <i r="1">
      <x v="4"/>
    </i>
    <i r="1">
      <x v="6"/>
    </i>
    <i r="1">
      <x v="7"/>
    </i>
    <i t="grand">
      <x/>
    </i>
  </rowItems>
  <colFields count="1">
    <field x="6"/>
  </colFields>
  <colItems count="4">
    <i>
      <x v="1"/>
    </i>
    <i>
      <x v="2"/>
    </i>
    <i>
      <x v="3"/>
    </i>
    <i t="grand">
      <x/>
    </i>
  </colItems>
  <dataFields count="1">
    <dataField name="Cuenta de CLASIFICADO A" fld="12" subtotal="count" baseField="0" baseItem="0"/>
  </dataFields>
  <formats count="75">
    <format dxfId="139">
      <pivotArea outline="0" collapsedLevelsAreSubtotals="1" fieldPosition="0"/>
    </format>
    <format dxfId="138">
      <pivotArea collapsedLevelsAreSubtotals="1" fieldPosition="0">
        <references count="1">
          <reference field="12" count="1">
            <x v="0"/>
          </reference>
        </references>
      </pivotArea>
    </format>
    <format dxfId="137">
      <pivotArea dataOnly="0" labelOnly="1" fieldPosition="0">
        <references count="1">
          <reference field="12" count="1">
            <x v="0"/>
          </reference>
        </references>
      </pivotArea>
    </format>
    <format dxfId="136">
      <pivotArea collapsedLevelsAreSubtotals="1" fieldPosition="0">
        <references count="1">
          <reference field="12" count="1">
            <x v="1"/>
          </reference>
        </references>
      </pivotArea>
    </format>
    <format dxfId="135">
      <pivotArea dataOnly="0" labelOnly="1" fieldPosition="0">
        <references count="1">
          <reference field="12" count="1">
            <x v="1"/>
          </reference>
        </references>
      </pivotArea>
    </format>
    <format dxfId="134">
      <pivotArea collapsedLevelsAreSubtotals="1" fieldPosition="0">
        <references count="1">
          <reference field="12" count="1">
            <x v="2"/>
          </reference>
        </references>
      </pivotArea>
    </format>
    <format dxfId="133">
      <pivotArea dataOnly="0" labelOnly="1" fieldPosition="0">
        <references count="1">
          <reference field="12" count="1">
            <x v="2"/>
          </reference>
        </references>
      </pivotArea>
    </format>
    <format dxfId="132">
      <pivotArea collapsedLevelsAreSubtotals="1" fieldPosition="0">
        <references count="1">
          <reference field="12" count="1">
            <x v="3"/>
          </reference>
        </references>
      </pivotArea>
    </format>
    <format dxfId="131">
      <pivotArea dataOnly="0" labelOnly="1" fieldPosition="0">
        <references count="1">
          <reference field="12" count="1">
            <x v="3"/>
          </reference>
        </references>
      </pivotArea>
    </format>
    <format dxfId="130">
      <pivotArea collapsedLevelsAreSubtotals="1" fieldPosition="0">
        <references count="1">
          <reference field="12" count="1">
            <x v="4"/>
          </reference>
        </references>
      </pivotArea>
    </format>
    <format dxfId="129">
      <pivotArea dataOnly="0" labelOnly="1" fieldPosition="0">
        <references count="1">
          <reference field="12" count="1">
            <x v="4"/>
          </reference>
        </references>
      </pivotArea>
    </format>
    <format dxfId="128">
      <pivotArea collapsedLevelsAreSubtotals="1" fieldPosition="0">
        <references count="1">
          <reference field="12" count="1">
            <x v="5"/>
          </reference>
        </references>
      </pivotArea>
    </format>
    <format dxfId="127">
      <pivotArea dataOnly="0" labelOnly="1" fieldPosition="0">
        <references count="1">
          <reference field="12" count="1">
            <x v="5"/>
          </reference>
        </references>
      </pivotArea>
    </format>
    <format dxfId="126">
      <pivotArea collapsedLevelsAreSubtotals="1" fieldPosition="0">
        <references count="1">
          <reference field="12" count="1">
            <x v="6"/>
          </reference>
        </references>
      </pivotArea>
    </format>
    <format dxfId="125">
      <pivotArea dataOnly="0" labelOnly="1" fieldPosition="0">
        <references count="1">
          <reference field="12" count="1">
            <x v="6"/>
          </reference>
        </references>
      </pivotArea>
    </format>
    <format dxfId="124">
      <pivotArea collapsedLevelsAreSubtotals="1" fieldPosition="0">
        <references count="1">
          <reference field="12" count="1">
            <x v="7"/>
          </reference>
        </references>
      </pivotArea>
    </format>
    <format dxfId="123">
      <pivotArea dataOnly="0" labelOnly="1" fieldPosition="0">
        <references count="1">
          <reference field="12" count="1">
            <x v="7"/>
          </reference>
        </references>
      </pivotArea>
    </format>
    <format dxfId="122">
      <pivotArea collapsedLevelsAreSubtotals="1" fieldPosition="0">
        <references count="1">
          <reference field="12" count="1">
            <x v="8"/>
          </reference>
        </references>
      </pivotArea>
    </format>
    <format dxfId="121">
      <pivotArea dataOnly="0" labelOnly="1" fieldPosition="0">
        <references count="1">
          <reference field="12" count="1">
            <x v="8"/>
          </reference>
        </references>
      </pivotArea>
    </format>
    <format dxfId="120">
      <pivotArea type="all" dataOnly="0" outline="0" fieldPosition="0"/>
    </format>
    <format dxfId="119">
      <pivotArea outline="0" collapsedLevelsAreSubtotals="1" fieldPosition="0"/>
    </format>
    <format dxfId="118">
      <pivotArea dataOnly="0" labelOnly="1" fieldPosition="0">
        <references count="1">
          <reference field="12" count="0"/>
        </references>
      </pivotArea>
    </format>
    <format dxfId="117">
      <pivotArea dataOnly="0" labelOnly="1" grandRow="1" outline="0" fieldPosition="0"/>
    </format>
    <format dxfId="116">
      <pivotArea dataOnly="0" labelOnly="1" fieldPosition="0">
        <references count="1">
          <reference field="6" count="3">
            <x v="1"/>
            <x v="2"/>
            <x v="3"/>
          </reference>
        </references>
      </pivotArea>
    </format>
    <format dxfId="115">
      <pivotArea dataOnly="0" labelOnly="1" grandCol="1" outline="0" fieldPosition="0"/>
    </format>
    <format dxfId="114">
      <pivotArea grandRow="1" outline="0" collapsedLevelsAreSubtotals="1" fieldPosition="0"/>
    </format>
    <format dxfId="113">
      <pivotArea collapsedLevelsAreSubtotals="1" fieldPosition="0">
        <references count="1">
          <reference field="12" count="0"/>
        </references>
      </pivotArea>
    </format>
    <format dxfId="112">
      <pivotArea dataOnly="0" labelOnly="1" fieldPosition="0">
        <references count="1">
          <reference field="12" count="0"/>
        </references>
      </pivotArea>
    </format>
    <format dxfId="111">
      <pivotArea collapsedLevelsAreSubtotals="1" fieldPosition="0">
        <references count="1">
          <reference field="12" count="1">
            <x v="3"/>
          </reference>
        </references>
      </pivotArea>
    </format>
    <format dxfId="110">
      <pivotArea dataOnly="0" labelOnly="1" fieldPosition="0">
        <references count="1">
          <reference field="12" count="1">
            <x v="3"/>
          </reference>
        </references>
      </pivotArea>
    </format>
    <format dxfId="109">
      <pivotArea collapsedLevelsAreSubtotals="1" fieldPosition="0">
        <references count="1">
          <reference field="12" count="1">
            <x v="6"/>
          </reference>
        </references>
      </pivotArea>
    </format>
    <format dxfId="108">
      <pivotArea dataOnly="0" labelOnly="1" fieldPosition="0">
        <references count="1">
          <reference field="12" count="1">
            <x v="6"/>
          </reference>
        </references>
      </pivotArea>
    </format>
    <format dxfId="107">
      <pivotArea collapsedLevelsAreSubtotals="1" fieldPosition="0">
        <references count="1">
          <reference field="12" count="1">
            <x v="4"/>
          </reference>
        </references>
      </pivotArea>
    </format>
    <format dxfId="106">
      <pivotArea dataOnly="0" labelOnly="1" fieldPosition="0">
        <references count="1">
          <reference field="12" count="1">
            <x v="4"/>
          </reference>
        </references>
      </pivotArea>
    </format>
    <format dxfId="105">
      <pivotArea dataOnly="0" labelOnly="1" fieldPosition="0">
        <references count="1">
          <reference field="12" count="1">
            <x v="1"/>
          </reference>
        </references>
      </pivotArea>
    </format>
    <format dxfId="104">
      <pivotArea dataOnly="0" labelOnly="1" fieldPosition="0">
        <references count="1">
          <reference field="12" count="1">
            <x v="7"/>
          </reference>
        </references>
      </pivotArea>
    </format>
    <format dxfId="103">
      <pivotArea dataOnly="0" labelOnly="1" fieldPosition="0">
        <references count="1">
          <reference field="12" count="1">
            <x v="2"/>
          </reference>
        </references>
      </pivotArea>
    </format>
    <format dxfId="102">
      <pivotArea dataOnly="0" labelOnly="1" fieldPosition="0">
        <references count="1">
          <reference field="12" count="1">
            <x v="0"/>
          </reference>
        </references>
      </pivotArea>
    </format>
    <format dxfId="101">
      <pivotArea dataOnly="0" labelOnly="1" fieldPosition="0">
        <references count="1">
          <reference field="12" count="1">
            <x v="5"/>
          </reference>
        </references>
      </pivotArea>
    </format>
    <format dxfId="100">
      <pivotArea dataOnly="0" labelOnly="1" fieldPosition="0">
        <references count="1">
          <reference field="12" count="1">
            <x v="8"/>
          </reference>
        </references>
      </pivotArea>
    </format>
    <format dxfId="99">
      <pivotArea collapsedLevelsAreSubtotals="1" fieldPosition="0">
        <references count="1">
          <reference field="12" count="1">
            <x v="3"/>
          </reference>
        </references>
      </pivotArea>
    </format>
    <format dxfId="98">
      <pivotArea dataOnly="0" labelOnly="1" fieldPosition="0">
        <references count="1">
          <reference field="12" count="1">
            <x v="3"/>
          </reference>
        </references>
      </pivotArea>
    </format>
    <format dxfId="97">
      <pivotArea collapsedLevelsAreSubtotals="1" fieldPosition="0">
        <references count="1">
          <reference field="12" count="1">
            <x v="6"/>
          </reference>
        </references>
      </pivotArea>
    </format>
    <format dxfId="96">
      <pivotArea dataOnly="0" labelOnly="1" fieldPosition="0">
        <references count="1">
          <reference field="12" count="1">
            <x v="6"/>
          </reference>
        </references>
      </pivotArea>
    </format>
    <format dxfId="95">
      <pivotArea collapsedLevelsAreSubtotals="1" fieldPosition="0">
        <references count="1">
          <reference field="12" count="1">
            <x v="4"/>
          </reference>
        </references>
      </pivotArea>
    </format>
    <format dxfId="94">
      <pivotArea dataOnly="0" labelOnly="1" fieldPosition="0">
        <references count="1">
          <reference field="12" count="1">
            <x v="4"/>
          </reference>
        </references>
      </pivotArea>
    </format>
    <format dxfId="93">
      <pivotArea collapsedLevelsAreSubtotals="1" fieldPosition="0">
        <references count="1">
          <reference field="12" count="1">
            <x v="1"/>
          </reference>
        </references>
      </pivotArea>
    </format>
    <format dxfId="92">
      <pivotArea dataOnly="0" labelOnly="1" fieldPosition="0">
        <references count="1">
          <reference field="12" count="1">
            <x v="1"/>
          </reference>
        </references>
      </pivotArea>
    </format>
    <format dxfId="91">
      <pivotArea collapsedLevelsAreSubtotals="1" fieldPosition="0">
        <references count="1">
          <reference field="12" count="1">
            <x v="7"/>
          </reference>
        </references>
      </pivotArea>
    </format>
    <format dxfId="90">
      <pivotArea dataOnly="0" labelOnly="1" fieldPosition="0">
        <references count="1">
          <reference field="12" count="1">
            <x v="7"/>
          </reference>
        </references>
      </pivotArea>
    </format>
    <format dxfId="89">
      <pivotArea collapsedLevelsAreSubtotals="1" fieldPosition="0">
        <references count="1">
          <reference field="12" count="1">
            <x v="2"/>
          </reference>
        </references>
      </pivotArea>
    </format>
    <format dxfId="88">
      <pivotArea dataOnly="0" labelOnly="1" fieldPosition="0">
        <references count="1">
          <reference field="12" count="1">
            <x v="2"/>
          </reference>
        </references>
      </pivotArea>
    </format>
    <format dxfId="87">
      <pivotArea collapsedLevelsAreSubtotals="1" fieldPosition="0">
        <references count="1">
          <reference field="12" count="1">
            <x v="0"/>
          </reference>
        </references>
      </pivotArea>
    </format>
    <format dxfId="86">
      <pivotArea dataOnly="0" labelOnly="1" fieldPosition="0">
        <references count="1">
          <reference field="12" count="1">
            <x v="0"/>
          </reference>
        </references>
      </pivotArea>
    </format>
    <format dxfId="85">
      <pivotArea collapsedLevelsAreSubtotals="1" fieldPosition="0">
        <references count="1">
          <reference field="12" count="1">
            <x v="5"/>
          </reference>
        </references>
      </pivotArea>
    </format>
    <format dxfId="84">
      <pivotArea dataOnly="0" labelOnly="1" fieldPosition="0">
        <references count="1">
          <reference field="12" count="1">
            <x v="5"/>
          </reference>
        </references>
      </pivotArea>
    </format>
    <format dxfId="83">
      <pivotArea collapsedLevelsAreSubtotals="1" fieldPosition="0">
        <references count="1">
          <reference field="12" count="1">
            <x v="8"/>
          </reference>
        </references>
      </pivotArea>
    </format>
    <format dxfId="82">
      <pivotArea dataOnly="0" labelOnly="1" fieldPosition="0">
        <references count="1">
          <reference field="12" count="1">
            <x v="8"/>
          </reference>
        </references>
      </pivotArea>
    </format>
    <format dxfId="81">
      <pivotArea grandCol="1" outline="0" collapsedLevelsAreSubtotals="1" fieldPosition="0"/>
    </format>
    <format dxfId="80">
      <pivotArea collapsedLevelsAreSubtotals="1" fieldPosition="0">
        <references count="1">
          <reference field="12" count="1">
            <x v="6"/>
          </reference>
        </references>
      </pivotArea>
    </format>
    <format dxfId="79">
      <pivotArea dataOnly="0" labelOnly="1" fieldPosition="0">
        <references count="1">
          <reference field="12" count="1">
            <x v="6"/>
          </reference>
        </references>
      </pivotArea>
    </format>
    <format dxfId="78">
      <pivotArea collapsedLevelsAreSubtotals="1" fieldPosition="0">
        <references count="1">
          <reference field="12" count="1">
            <x v="1"/>
          </reference>
        </references>
      </pivotArea>
    </format>
    <format dxfId="77">
      <pivotArea dataOnly="0" labelOnly="1" fieldPosition="0">
        <references count="1">
          <reference field="12" count="1">
            <x v="1"/>
          </reference>
        </references>
      </pivotArea>
    </format>
    <format dxfId="76">
      <pivotArea collapsedLevelsAreSubtotals="1" fieldPosition="0">
        <references count="1">
          <reference field="12" count="1">
            <x v="7"/>
          </reference>
        </references>
      </pivotArea>
    </format>
    <format dxfId="75">
      <pivotArea dataOnly="0" labelOnly="1" fieldPosition="0">
        <references count="1">
          <reference field="12" count="1">
            <x v="7"/>
          </reference>
        </references>
      </pivotArea>
    </format>
    <format dxfId="74">
      <pivotArea collapsedLevelsAreSubtotals="1" fieldPosition="0">
        <references count="1">
          <reference field="12" count="1">
            <x v="2"/>
          </reference>
        </references>
      </pivotArea>
    </format>
    <format dxfId="73">
      <pivotArea dataOnly="0" labelOnly="1" fieldPosition="0">
        <references count="1">
          <reference field="12" count="1">
            <x v="2"/>
          </reference>
        </references>
      </pivotArea>
    </format>
    <format dxfId="72">
      <pivotArea collapsedLevelsAreSubtotals="1" fieldPosition="0">
        <references count="1">
          <reference field="12" count="1">
            <x v="0"/>
          </reference>
        </references>
      </pivotArea>
    </format>
    <format dxfId="71">
      <pivotArea dataOnly="0" labelOnly="1" fieldPosition="0">
        <references count="1">
          <reference field="12" count="1">
            <x v="0"/>
          </reference>
        </references>
      </pivotArea>
    </format>
    <format dxfId="70">
      <pivotArea collapsedLevelsAreSubtotals="1" fieldPosition="0">
        <references count="1">
          <reference field="12" count="1">
            <x v="5"/>
          </reference>
        </references>
      </pivotArea>
    </format>
    <format dxfId="69">
      <pivotArea dataOnly="0" labelOnly="1" fieldPosition="0">
        <references count="1">
          <reference field="12" count="1">
            <x v="5"/>
          </reference>
        </references>
      </pivotArea>
    </format>
    <format dxfId="68">
      <pivotArea collapsedLevelsAreSubtotals="1" fieldPosition="0">
        <references count="1">
          <reference field="12" count="1">
            <x v="8"/>
          </reference>
        </references>
      </pivotArea>
    </format>
    <format dxfId="67">
      <pivotArea dataOnly="0" labelOnly="1" fieldPosition="0">
        <references count="1">
          <reference field="12" count="1">
            <x v="8"/>
          </reference>
        </references>
      </pivotArea>
    </format>
    <format dxfId="66">
      <pivotArea collapsedLevelsAreSubtotals="1" fieldPosition="0">
        <references count="1">
          <reference field="12" count="1">
            <x v="4"/>
          </reference>
        </references>
      </pivotArea>
    </format>
    <format dxfId="65">
      <pivotArea dataOnly="0" labelOnly="1" fieldPosition="0">
        <references count="1">
          <reference field="12" count="1">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3.xml><?xml version="1.0" encoding="utf-8"?>
<pivotTableDefinition xmlns="http://schemas.openxmlformats.org/spreadsheetml/2006/main" name="Tabla dinámica7" cacheId="1"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76:E96" firstHeaderRow="1" firstDataRow="2" firstDataCol="1"/>
  <pivotFields count="18">
    <pivotField showAll="0"/>
    <pivotField showAll="0"/>
    <pivotField dataField="1" showAll="0"/>
    <pivotField showAll="0"/>
    <pivotField showAll="0"/>
    <pivotField showAll="0"/>
    <pivotField axis="axisCol" numFmtId="15" showAll="0">
      <items count="15">
        <item x="0"/>
        <item x="1"/>
        <item x="2"/>
        <item x="3"/>
        <item x="4"/>
        <item x="5"/>
        <item x="6"/>
        <item x="7"/>
        <item x="8"/>
        <item x="9"/>
        <item x="10"/>
        <item x="11"/>
        <item x="12"/>
        <item x="13"/>
        <item t="default"/>
      </items>
    </pivotField>
    <pivotField numFmtId="15" showAll="0"/>
    <pivotField showAll="0"/>
    <pivotField showAll="0"/>
    <pivotField showAll="0"/>
    <pivotField showAll="0"/>
    <pivotField axis="axisRow" showAll="0">
      <items count="10">
        <item x="8"/>
        <item x="2"/>
        <item x="5"/>
        <item x="7"/>
        <item x="3"/>
        <item x="6"/>
        <item x="1"/>
        <item x="4"/>
        <item x="0"/>
        <item t="default"/>
      </items>
    </pivotField>
    <pivotField showAll="0"/>
    <pivotField showAll="0"/>
    <pivotField showAll="0"/>
    <pivotField numFmtId="1" showAll="0"/>
    <pivotField axis="axisRow" showAll="0">
      <items count="4">
        <item x="0"/>
        <item x="2"/>
        <item x="1"/>
        <item t="default"/>
      </items>
    </pivotField>
  </pivotFields>
  <rowFields count="2">
    <field x="17"/>
    <field x="12"/>
  </rowFields>
  <rowItems count="19">
    <i>
      <x/>
    </i>
    <i r="1">
      <x/>
    </i>
    <i r="1">
      <x v="1"/>
    </i>
    <i r="1">
      <x v="2"/>
    </i>
    <i r="1">
      <x v="3"/>
    </i>
    <i r="1">
      <x v="4"/>
    </i>
    <i r="1">
      <x v="5"/>
    </i>
    <i r="1">
      <x v="6"/>
    </i>
    <i r="1">
      <x v="7"/>
    </i>
    <i r="1">
      <x v="8"/>
    </i>
    <i>
      <x v="1"/>
    </i>
    <i r="1">
      <x v="4"/>
    </i>
    <i r="1">
      <x v="8"/>
    </i>
    <i>
      <x v="2"/>
    </i>
    <i r="1">
      <x/>
    </i>
    <i r="1">
      <x v="5"/>
    </i>
    <i r="1">
      <x v="7"/>
    </i>
    <i r="1">
      <x v="8"/>
    </i>
    <i t="grand">
      <x/>
    </i>
  </rowItems>
  <colFields count="1">
    <field x="6"/>
  </colFields>
  <colItems count="4">
    <i>
      <x v="1"/>
    </i>
    <i>
      <x v="2"/>
    </i>
    <i>
      <x v="3"/>
    </i>
    <i t="grand">
      <x/>
    </i>
  </colItems>
  <dataFields count="1">
    <dataField name="Cuenta de TIPO REQ."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4.xml><?xml version="1.0" encoding="utf-8"?>
<pivotTableDefinition xmlns="http://schemas.openxmlformats.org/spreadsheetml/2006/main" name="Tabla dinámica4" cacheId="1"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238:E243" firstHeaderRow="1" firstDataRow="2" firstDataCol="1"/>
  <pivotFields count="18">
    <pivotField showAll="0"/>
    <pivotField showAll="0"/>
    <pivotField showAll="0"/>
    <pivotField showAll="0"/>
    <pivotField showAll="0"/>
    <pivotField showAll="0"/>
    <pivotField axis="axisCol" numFmtId="15" showAll="0">
      <items count="15">
        <item x="0"/>
        <item x="1"/>
        <item x="2"/>
        <item x="3"/>
        <item x="4"/>
        <item x="5"/>
        <item x="6"/>
        <item x="7"/>
        <item x="8"/>
        <item x="9"/>
        <item x="10"/>
        <item x="11"/>
        <item x="12"/>
        <item x="13"/>
        <item t="default"/>
      </items>
    </pivotField>
    <pivotField numFmtId="15" showAll="0"/>
    <pivotField showAll="0"/>
    <pivotField showAll="0"/>
    <pivotField showAll="0"/>
    <pivotField showAll="0"/>
    <pivotField showAll="0"/>
    <pivotField showAll="0"/>
    <pivotField showAll="0"/>
    <pivotField showAll="0"/>
    <pivotField numFmtId="1" showAll="0"/>
    <pivotField axis="axisRow" dataField="1" showAll="0">
      <items count="4">
        <item x="0"/>
        <item x="2"/>
        <item x="1"/>
        <item t="default"/>
      </items>
    </pivotField>
  </pivotFields>
  <rowFields count="1">
    <field x="17"/>
  </rowFields>
  <rowItems count="4">
    <i>
      <x/>
    </i>
    <i>
      <x v="1"/>
    </i>
    <i>
      <x v="2"/>
    </i>
    <i t="grand">
      <x/>
    </i>
  </rowItems>
  <colFields count="1">
    <field x="6"/>
  </colFields>
  <colItems count="4">
    <i>
      <x v="1"/>
    </i>
    <i>
      <x v="2"/>
    </i>
    <i>
      <x v="3"/>
    </i>
    <i t="grand">
      <x/>
    </i>
  </colItems>
  <dataFields count="1">
    <dataField name="Cuenta de RANGOS DE CONTESTACION" fld="17" subtotal="count" baseField="0" baseItem="0"/>
  </dataFields>
  <formats count="6">
    <format dxfId="145">
      <pivotArea type="all" dataOnly="0" outline="0" fieldPosition="0"/>
    </format>
    <format dxfId="144">
      <pivotArea outline="0" collapsedLevelsAreSubtotals="1" fieldPosition="0"/>
    </format>
    <format dxfId="143">
      <pivotArea dataOnly="0" labelOnly="1" fieldPosition="0">
        <references count="1">
          <reference field="17" count="0"/>
        </references>
      </pivotArea>
    </format>
    <format dxfId="142">
      <pivotArea dataOnly="0" labelOnly="1" grandRow="1" outline="0" fieldPosition="0"/>
    </format>
    <format dxfId="141">
      <pivotArea dataOnly="0" labelOnly="1" fieldPosition="0">
        <references count="1">
          <reference field="6" count="3">
            <x v="1"/>
            <x v="2"/>
            <x v="3"/>
          </reference>
        </references>
      </pivotArea>
    </format>
    <format dxfId="14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5.xml><?xml version="1.0" encoding="utf-8"?>
<pivotTableDefinition xmlns="http://schemas.openxmlformats.org/spreadsheetml/2006/main" name="Tabla dinámica6" cacheId="1"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27:E38" firstHeaderRow="1" firstDataRow="2" firstDataCol="1"/>
  <pivotFields count="18">
    <pivotField showAll="0"/>
    <pivotField showAll="0"/>
    <pivotField showAll="0"/>
    <pivotField showAll="0"/>
    <pivotField showAll="0"/>
    <pivotField showAll="0"/>
    <pivotField axis="axisCol" numFmtId="15" showAll="0">
      <items count="15">
        <item x="0"/>
        <item x="1"/>
        <item x="2"/>
        <item x="3"/>
        <item x="4"/>
        <item x="5"/>
        <item x="6"/>
        <item x="7"/>
        <item x="8"/>
        <item x="9"/>
        <item x="10"/>
        <item x="11"/>
        <item x="12"/>
        <item x="13"/>
        <item t="default"/>
      </items>
    </pivotField>
    <pivotField numFmtId="15" showAll="0"/>
    <pivotField showAll="0"/>
    <pivotField showAll="0"/>
    <pivotField showAll="0"/>
    <pivotField showAll="0"/>
    <pivotField axis="axisRow" dataField="1" showAll="0" sortType="ascending">
      <items count="10">
        <item x="8"/>
        <item x="2"/>
        <item x="5"/>
        <item x="7"/>
        <item x="3"/>
        <item x="6"/>
        <item x="1"/>
        <item x="4"/>
        <item x="0"/>
        <item t="default"/>
      </items>
      <autoSortScope>
        <pivotArea dataOnly="0" outline="0" fieldPosition="0">
          <references count="1">
            <reference field="4294967294" count="1" selected="0">
              <x v="0"/>
            </reference>
          </references>
        </pivotArea>
      </autoSortScope>
    </pivotField>
    <pivotField showAll="0"/>
    <pivotField showAll="0"/>
    <pivotField showAll="0"/>
    <pivotField numFmtId="1" showAll="0"/>
    <pivotField showAll="0"/>
  </pivotFields>
  <rowFields count="1">
    <field x="12"/>
  </rowFields>
  <rowItems count="10">
    <i>
      <x v="3"/>
    </i>
    <i>
      <x v="6"/>
    </i>
    <i>
      <x v="4"/>
    </i>
    <i>
      <x v="1"/>
    </i>
    <i>
      <x v="7"/>
    </i>
    <i>
      <x v="2"/>
    </i>
    <i>
      <x/>
    </i>
    <i>
      <x v="5"/>
    </i>
    <i>
      <x v="8"/>
    </i>
    <i t="grand">
      <x/>
    </i>
  </rowItems>
  <colFields count="1">
    <field x="6"/>
  </colFields>
  <colItems count="4">
    <i>
      <x v="1"/>
    </i>
    <i>
      <x v="2"/>
    </i>
    <i>
      <x v="3"/>
    </i>
    <i t="grand">
      <x/>
    </i>
  </colItems>
  <dataFields count="1">
    <dataField name="Cuenta de CLASIFICADO A" fld="12" subtotal="count" baseField="0" baseItem="0"/>
  </dataFields>
  <formats count="28">
    <format dxfId="173">
      <pivotArea outline="0" collapsedLevelsAreSubtotals="1" fieldPosition="0"/>
    </format>
    <format dxfId="172">
      <pivotArea collapsedLevelsAreSubtotals="1" fieldPosition="0">
        <references count="1">
          <reference field="12" count="1">
            <x v="0"/>
          </reference>
        </references>
      </pivotArea>
    </format>
    <format dxfId="171">
      <pivotArea dataOnly="0" labelOnly="1" fieldPosition="0">
        <references count="1">
          <reference field="12" count="1">
            <x v="0"/>
          </reference>
        </references>
      </pivotArea>
    </format>
    <format dxfId="170">
      <pivotArea collapsedLevelsAreSubtotals="1" fieldPosition="0">
        <references count="1">
          <reference field="12" count="1">
            <x v="1"/>
          </reference>
        </references>
      </pivotArea>
    </format>
    <format dxfId="169">
      <pivotArea dataOnly="0" labelOnly="1" fieldPosition="0">
        <references count="1">
          <reference field="12" count="1">
            <x v="1"/>
          </reference>
        </references>
      </pivotArea>
    </format>
    <format dxfId="168">
      <pivotArea collapsedLevelsAreSubtotals="1" fieldPosition="0">
        <references count="1">
          <reference field="12" count="1">
            <x v="2"/>
          </reference>
        </references>
      </pivotArea>
    </format>
    <format dxfId="167">
      <pivotArea dataOnly="0" labelOnly="1" fieldPosition="0">
        <references count="1">
          <reference field="12" count="1">
            <x v="2"/>
          </reference>
        </references>
      </pivotArea>
    </format>
    <format dxfId="166">
      <pivotArea collapsedLevelsAreSubtotals="1" fieldPosition="0">
        <references count="1">
          <reference field="12" count="1">
            <x v="3"/>
          </reference>
        </references>
      </pivotArea>
    </format>
    <format dxfId="165">
      <pivotArea dataOnly="0" labelOnly="1" fieldPosition="0">
        <references count="1">
          <reference field="12" count="1">
            <x v="3"/>
          </reference>
        </references>
      </pivotArea>
    </format>
    <format dxfId="164">
      <pivotArea collapsedLevelsAreSubtotals="1" fieldPosition="0">
        <references count="1">
          <reference field="12" count="1">
            <x v="4"/>
          </reference>
        </references>
      </pivotArea>
    </format>
    <format dxfId="163">
      <pivotArea dataOnly="0" labelOnly="1" fieldPosition="0">
        <references count="1">
          <reference field="12" count="1">
            <x v="4"/>
          </reference>
        </references>
      </pivotArea>
    </format>
    <format dxfId="162">
      <pivotArea collapsedLevelsAreSubtotals="1" fieldPosition="0">
        <references count="1">
          <reference field="12" count="1">
            <x v="5"/>
          </reference>
        </references>
      </pivotArea>
    </format>
    <format dxfId="161">
      <pivotArea dataOnly="0" labelOnly="1" fieldPosition="0">
        <references count="1">
          <reference field="12" count="1">
            <x v="5"/>
          </reference>
        </references>
      </pivotArea>
    </format>
    <format dxfId="160">
      <pivotArea collapsedLevelsAreSubtotals="1" fieldPosition="0">
        <references count="1">
          <reference field="12" count="1">
            <x v="6"/>
          </reference>
        </references>
      </pivotArea>
    </format>
    <format dxfId="159">
      <pivotArea dataOnly="0" labelOnly="1" fieldPosition="0">
        <references count="1">
          <reference field="12" count="1">
            <x v="6"/>
          </reference>
        </references>
      </pivotArea>
    </format>
    <format dxfId="158">
      <pivotArea collapsedLevelsAreSubtotals="1" fieldPosition="0">
        <references count="1">
          <reference field="12" count="1">
            <x v="7"/>
          </reference>
        </references>
      </pivotArea>
    </format>
    <format dxfId="157">
      <pivotArea dataOnly="0" labelOnly="1" fieldPosition="0">
        <references count="1">
          <reference field="12" count="1">
            <x v="7"/>
          </reference>
        </references>
      </pivotArea>
    </format>
    <format dxfId="156">
      <pivotArea collapsedLevelsAreSubtotals="1" fieldPosition="0">
        <references count="1">
          <reference field="12" count="1">
            <x v="8"/>
          </reference>
        </references>
      </pivotArea>
    </format>
    <format dxfId="155">
      <pivotArea dataOnly="0" labelOnly="1" fieldPosition="0">
        <references count="1">
          <reference field="12" count="1">
            <x v="8"/>
          </reference>
        </references>
      </pivotArea>
    </format>
    <format dxfId="154">
      <pivotArea type="all" dataOnly="0" outline="0" fieldPosition="0"/>
    </format>
    <format dxfId="153">
      <pivotArea outline="0" collapsedLevelsAreSubtotals="1" fieldPosition="0"/>
    </format>
    <format dxfId="152">
      <pivotArea dataOnly="0" labelOnly="1" fieldPosition="0">
        <references count="1">
          <reference field="12" count="0"/>
        </references>
      </pivotArea>
    </format>
    <format dxfId="151">
      <pivotArea dataOnly="0" labelOnly="1" grandRow="1" outline="0" fieldPosition="0"/>
    </format>
    <format dxfId="150">
      <pivotArea dataOnly="0" labelOnly="1" fieldPosition="0">
        <references count="1">
          <reference field="6" count="3">
            <x v="1"/>
            <x v="2"/>
            <x v="3"/>
          </reference>
        </references>
      </pivotArea>
    </format>
    <format dxfId="149">
      <pivotArea dataOnly="0" labelOnly="1" grandCol="1" outline="0" fieldPosition="0"/>
    </format>
    <format dxfId="148">
      <pivotArea grandRow="1" outline="0" collapsedLevelsAreSubtotals="1" fieldPosition="0"/>
    </format>
    <format dxfId="147">
      <pivotArea collapsedLevelsAreSubtotals="1" fieldPosition="0">
        <references count="1">
          <reference field="12" count="0"/>
        </references>
      </pivotArea>
    </format>
    <format dxfId="146">
      <pivotArea dataOnly="0" labelOnly="1" fieldPosition="0">
        <references count="1">
          <reference field="12"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6.xml><?xml version="1.0" encoding="utf-8"?>
<pivotTableDefinition xmlns="http://schemas.openxmlformats.org/spreadsheetml/2006/main" name="Tabla dinámica16" cacheId="1"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228:E233" firstHeaderRow="1" firstDataRow="2" firstDataCol="1"/>
  <pivotFields count="18">
    <pivotField showAll="0"/>
    <pivotField showAll="0"/>
    <pivotField dataField="1" showAll="0"/>
    <pivotField showAll="0"/>
    <pivotField showAll="0"/>
    <pivotField showAll="0"/>
    <pivotField axis="axisCol" numFmtId="15" showAll="0">
      <items count="15">
        <item x="0"/>
        <item x="1"/>
        <item x="2"/>
        <item x="3"/>
        <item x="4"/>
        <item x="5"/>
        <item x="6"/>
        <item x="7"/>
        <item x="8"/>
        <item x="9"/>
        <item x="10"/>
        <item x="11"/>
        <item x="12"/>
        <item x="13"/>
        <item t="default"/>
      </items>
    </pivotField>
    <pivotField numFmtId="15" showAll="0"/>
    <pivotField showAll="0"/>
    <pivotField showAll="0"/>
    <pivotField showAll="0"/>
    <pivotField axis="axisRow" showAll="0">
      <items count="10">
        <item x="4"/>
        <item x="3"/>
        <item x="8"/>
        <item x="5"/>
        <item x="2"/>
        <item x="7"/>
        <item x="0"/>
        <item x="6"/>
        <item x="1"/>
        <item t="default"/>
      </items>
    </pivotField>
    <pivotField axis="axisRow" showAll="0" sortType="ascending">
      <items count="10">
        <item h="1" x="8"/>
        <item h="1" x="2"/>
        <item h="1" x="5"/>
        <item h="1" x="7"/>
        <item h="1" x="3"/>
        <item x="6"/>
        <item h="1" x="1"/>
        <item h="1" x="4"/>
        <item h="1" x="0"/>
        <item t="default"/>
      </items>
      <autoSortScope>
        <pivotArea dataOnly="0" outline="0" fieldPosition="0">
          <references count="1">
            <reference field="4294967294" count="1" selected="0">
              <x v="0"/>
            </reference>
          </references>
        </pivotArea>
      </autoSortScope>
    </pivotField>
    <pivotField showAll="0"/>
    <pivotField showAll="0"/>
    <pivotField showAll="0"/>
    <pivotField numFmtId="1" showAll="0"/>
    <pivotField showAll="0"/>
  </pivotFields>
  <rowFields count="2">
    <field x="12"/>
    <field x="11"/>
  </rowFields>
  <rowItems count="4">
    <i>
      <x v="5"/>
    </i>
    <i r="1">
      <x v="3"/>
    </i>
    <i r="1">
      <x v="6"/>
    </i>
    <i t="grand">
      <x/>
    </i>
  </rowItems>
  <colFields count="1">
    <field x="6"/>
  </colFields>
  <colItems count="4">
    <i>
      <x v="1"/>
    </i>
    <i>
      <x v="2"/>
    </i>
    <i>
      <x v="3"/>
    </i>
    <i t="grand">
      <x/>
    </i>
  </colItems>
  <dataFields count="1">
    <dataField name="Cuenta de TIPO REQ." fld="2" subtotal="count" baseField="0" baseItem="0"/>
  </dataFields>
  <formats count="10">
    <format dxfId="183">
      <pivotArea grandCol="1" outline="0" collapsedLevelsAreSubtotals="1" fieldPosition="0"/>
    </format>
    <format dxfId="182">
      <pivotArea type="topRight" dataOnly="0" labelOnly="1" outline="0" offset="C1" fieldPosition="0"/>
    </format>
    <format dxfId="181">
      <pivotArea grandCol="1" outline="0" collapsedLevelsAreSubtotals="1" fieldPosition="0"/>
    </format>
    <format dxfId="180">
      <pivotArea type="all" dataOnly="0" outline="0" fieldPosition="0"/>
    </format>
    <format dxfId="179">
      <pivotArea outline="0" collapsedLevelsAreSubtotals="1" fieldPosition="0"/>
    </format>
    <format dxfId="178">
      <pivotArea dataOnly="0" labelOnly="1" fieldPosition="0">
        <references count="1">
          <reference field="12" count="0"/>
        </references>
      </pivotArea>
    </format>
    <format dxfId="177">
      <pivotArea dataOnly="0" labelOnly="1" grandRow="1" outline="0" fieldPosition="0"/>
    </format>
    <format dxfId="176">
      <pivotArea dataOnly="0" labelOnly="1" fieldPosition="0">
        <references count="1">
          <reference field="6" count="3">
            <x v="1"/>
            <x v="2"/>
            <x v="3"/>
          </reference>
        </references>
      </pivotArea>
    </format>
    <format dxfId="175">
      <pivotArea dataOnly="0" labelOnly="1" grandCol="1" outline="0" fieldPosition="0"/>
    </format>
    <format dxfId="174">
      <pivotArea grandRow="1"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7.xml><?xml version="1.0" encoding="utf-8"?>
<pivotTableDefinition xmlns="http://schemas.openxmlformats.org/spreadsheetml/2006/main" name="Tabla dinámica9" cacheId="1"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163:E170" firstHeaderRow="1" firstDataRow="2" firstDataCol="1"/>
  <pivotFields count="18">
    <pivotField showAll="0"/>
    <pivotField showAll="0"/>
    <pivotField axis="axisRow" dataField="1" showAll="0">
      <items count="9">
        <item h="1" x="7"/>
        <item h="1" x="0"/>
        <item h="1" x="1"/>
        <item h="1" x="3"/>
        <item x="5"/>
        <item h="1" x="2"/>
        <item h="1" x="4"/>
        <item h="1" x="6"/>
        <item t="default"/>
      </items>
    </pivotField>
    <pivotField showAll="0"/>
    <pivotField showAll="0"/>
    <pivotField showAll="0"/>
    <pivotField axis="axisCol" numFmtId="15" showAll="0">
      <items count="15">
        <item x="0"/>
        <item x="1"/>
        <item x="2"/>
        <item x="3"/>
        <item x="4"/>
        <item x="5"/>
        <item x="6"/>
        <item x="7"/>
        <item x="8"/>
        <item x="9"/>
        <item x="10"/>
        <item x="11"/>
        <item x="12"/>
        <item x="13"/>
        <item t="default"/>
      </items>
    </pivotField>
    <pivotField numFmtId="15" showAll="0"/>
    <pivotField showAll="0"/>
    <pivotField showAll="0"/>
    <pivotField showAll="0"/>
    <pivotField showAll="0"/>
    <pivotField axis="axisRow" showAll="0" sortType="ascending">
      <items count="10">
        <item x="8"/>
        <item x="2"/>
        <item x="5"/>
        <item x="7"/>
        <item x="3"/>
        <item x="6"/>
        <item x="1"/>
        <item x="4"/>
        <item x="0"/>
        <item t="default"/>
      </items>
      <autoSortScope>
        <pivotArea dataOnly="0" outline="0" fieldPosition="0">
          <references count="1">
            <reference field="4294967294" count="1" selected="0">
              <x v="0"/>
            </reference>
          </references>
        </pivotArea>
      </autoSortScope>
    </pivotField>
    <pivotField showAll="0"/>
    <pivotField showAll="0"/>
    <pivotField showAll="0"/>
    <pivotField numFmtId="1" showAll="0"/>
    <pivotField showAll="0"/>
  </pivotFields>
  <rowFields count="2">
    <field x="2"/>
    <field x="12"/>
  </rowFields>
  <rowItems count="6">
    <i>
      <x v="4"/>
    </i>
    <i r="1">
      <x v="2"/>
    </i>
    <i r="1">
      <x v="5"/>
    </i>
    <i r="1">
      <x/>
    </i>
    <i r="1">
      <x v="8"/>
    </i>
    <i t="grand">
      <x/>
    </i>
  </rowItems>
  <colFields count="1">
    <field x="6"/>
  </colFields>
  <colItems count="4">
    <i>
      <x v="1"/>
    </i>
    <i>
      <x v="2"/>
    </i>
    <i>
      <x v="3"/>
    </i>
    <i t="grand">
      <x/>
    </i>
  </colItems>
  <dataFields count="1">
    <dataField name="Cuenta de TIPO REQ." fld="2" subtotal="count" baseField="0" baseItem="0"/>
  </dataFields>
  <formats count="18">
    <format dxfId="201">
      <pivotArea type="all" dataOnly="0" outline="0" fieldPosition="0"/>
    </format>
    <format dxfId="200">
      <pivotArea outline="0" collapsedLevelsAreSubtotals="1" fieldPosition="0"/>
    </format>
    <format dxfId="199">
      <pivotArea dataOnly="0" labelOnly="1" fieldPosition="0">
        <references count="1">
          <reference field="2" count="0"/>
        </references>
      </pivotArea>
    </format>
    <format dxfId="198">
      <pivotArea dataOnly="0" labelOnly="1" grandRow="1" outline="0" fieldPosition="0"/>
    </format>
    <format dxfId="197">
      <pivotArea dataOnly="0" labelOnly="1" fieldPosition="0">
        <references count="2">
          <reference field="2" count="0" selected="0"/>
          <reference field="12" count="6">
            <x v="0"/>
            <x v="2"/>
            <x v="4"/>
            <x v="5"/>
            <x v="7"/>
            <x v="8"/>
          </reference>
        </references>
      </pivotArea>
    </format>
    <format dxfId="196">
      <pivotArea dataOnly="0" labelOnly="1" fieldPosition="0">
        <references count="1">
          <reference field="6" count="3">
            <x v="1"/>
            <x v="2"/>
            <x v="3"/>
          </reference>
        </references>
      </pivotArea>
    </format>
    <format dxfId="195">
      <pivotArea dataOnly="0" labelOnly="1" grandCol="1" outline="0" fieldPosition="0"/>
    </format>
    <format dxfId="194">
      <pivotArea collapsedLevelsAreSubtotals="1" fieldPosition="0">
        <references count="2">
          <reference field="2" count="0" selected="0"/>
          <reference field="12" count="4">
            <x v="0"/>
            <x v="2"/>
            <x v="5"/>
            <x v="8"/>
          </reference>
        </references>
      </pivotArea>
    </format>
    <format dxfId="193">
      <pivotArea dataOnly="0" labelOnly="1" fieldPosition="0">
        <references count="2">
          <reference field="2" count="0" selected="0"/>
          <reference field="12" count="4">
            <x v="0"/>
            <x v="2"/>
            <x v="5"/>
            <x v="8"/>
          </reference>
        </references>
      </pivotArea>
    </format>
    <format dxfId="192">
      <pivotArea grandCol="1" outline="0" collapsedLevelsAreSubtotals="1" fieldPosition="0"/>
    </format>
    <format dxfId="191">
      <pivotArea grandCol="1" outline="0" collapsedLevelsAreSubtotals="1" fieldPosition="0"/>
    </format>
    <format dxfId="190">
      <pivotArea type="all" dataOnly="0" outline="0" fieldPosition="0"/>
    </format>
    <format dxfId="189">
      <pivotArea outline="0" collapsedLevelsAreSubtotals="1" fieldPosition="0"/>
    </format>
    <format dxfId="188">
      <pivotArea dataOnly="0" labelOnly="1" fieldPosition="0">
        <references count="1">
          <reference field="2" count="0"/>
        </references>
      </pivotArea>
    </format>
    <format dxfId="187">
      <pivotArea dataOnly="0" labelOnly="1" grandRow="1" outline="0" fieldPosition="0"/>
    </format>
    <format dxfId="186">
      <pivotArea dataOnly="0" labelOnly="1" fieldPosition="0">
        <references count="2">
          <reference field="2" count="0" selected="0"/>
          <reference field="12" count="4">
            <x v="0"/>
            <x v="2"/>
            <x v="5"/>
            <x v="8"/>
          </reference>
        </references>
      </pivotArea>
    </format>
    <format dxfId="185">
      <pivotArea dataOnly="0" labelOnly="1" fieldPosition="0">
        <references count="1">
          <reference field="6" count="3">
            <x v="1"/>
            <x v="2"/>
            <x v="3"/>
          </reference>
        </references>
      </pivotArea>
    </format>
    <format dxfId="184">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 dinámica6" cacheId="1"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16:E49" firstHeaderRow="1" firstDataRow="2" firstDataCol="1"/>
  <pivotFields count="18">
    <pivotField showAll="0"/>
    <pivotField showAll="0"/>
    <pivotField dataField="1" showAll="0"/>
    <pivotField showAll="0"/>
    <pivotField showAll="0"/>
    <pivotField showAll="0"/>
    <pivotField axis="axisCol" numFmtId="15" showAll="0">
      <items count="15">
        <item x="0"/>
        <item x="1"/>
        <item x="2"/>
        <item x="3"/>
        <item x="4"/>
        <item x="5"/>
        <item x="6"/>
        <item x="7"/>
        <item x="8"/>
        <item x="9"/>
        <item x="10"/>
        <item x="11"/>
        <item x="12"/>
        <item x="13"/>
        <item t="default"/>
      </items>
    </pivotField>
    <pivotField numFmtId="15" showAll="0"/>
    <pivotField showAll="0"/>
    <pivotField showAll="0"/>
    <pivotField showAll="0"/>
    <pivotField axis="axisRow" showAll="0">
      <items count="10">
        <item x="4"/>
        <item x="3"/>
        <item x="8"/>
        <item x="5"/>
        <item x="2"/>
        <item x="7"/>
        <item x="0"/>
        <item x="6"/>
        <item x="1"/>
        <item t="default"/>
      </items>
    </pivotField>
    <pivotField axis="axisRow" showAll="0">
      <items count="10">
        <item x="8"/>
        <item x="2"/>
        <item x="5"/>
        <item x="7"/>
        <item x="3"/>
        <item x="6"/>
        <item x="1"/>
        <item x="4"/>
        <item x="0"/>
        <item t="default"/>
      </items>
    </pivotField>
    <pivotField showAll="0"/>
    <pivotField showAll="0"/>
    <pivotField showAll="0"/>
    <pivotField numFmtId="1" showAll="0"/>
    <pivotField showAll="0"/>
  </pivotFields>
  <rowFields count="2">
    <field x="12"/>
    <field x="11"/>
  </rowFields>
  <rowItems count="32">
    <i>
      <x/>
    </i>
    <i r="1">
      <x v="3"/>
    </i>
    <i r="1">
      <x v="6"/>
    </i>
    <i>
      <x v="1"/>
    </i>
    <i r="1">
      <x v="1"/>
    </i>
    <i r="1">
      <x v="2"/>
    </i>
    <i r="1">
      <x v="6"/>
    </i>
    <i r="1">
      <x v="7"/>
    </i>
    <i>
      <x v="2"/>
    </i>
    <i r="1">
      <x v="3"/>
    </i>
    <i r="1">
      <x v="6"/>
    </i>
    <i>
      <x v="3"/>
    </i>
    <i r="1">
      <x v="6"/>
    </i>
    <i>
      <x v="4"/>
    </i>
    <i r="1">
      <x v="3"/>
    </i>
    <i r="1">
      <x v="6"/>
    </i>
    <i>
      <x v="5"/>
    </i>
    <i r="1">
      <x v="3"/>
    </i>
    <i r="1">
      <x v="6"/>
    </i>
    <i>
      <x v="6"/>
    </i>
    <i r="1">
      <x v="6"/>
    </i>
    <i>
      <x v="7"/>
    </i>
    <i r="1">
      <x/>
    </i>
    <i r="1">
      <x v="3"/>
    </i>
    <i r="1">
      <x v="6"/>
    </i>
    <i>
      <x v="8"/>
    </i>
    <i r="1">
      <x v="3"/>
    </i>
    <i r="1">
      <x v="4"/>
    </i>
    <i r="1">
      <x v="5"/>
    </i>
    <i r="1">
      <x v="6"/>
    </i>
    <i r="1">
      <x v="8"/>
    </i>
    <i t="grand">
      <x/>
    </i>
  </rowItems>
  <colFields count="1">
    <field x="6"/>
  </colFields>
  <colItems count="4">
    <i>
      <x v="1"/>
    </i>
    <i>
      <x v="2"/>
    </i>
    <i>
      <x v="3"/>
    </i>
    <i t="grand">
      <x/>
    </i>
  </colItems>
  <dataFields count="1">
    <dataField name="Cuenta de TIPO REQ."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 dinámica5" cacheId="1"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1:E11" firstHeaderRow="1" firstDataRow="2" firstDataCol="1"/>
  <pivotFields count="18">
    <pivotField showAll="0"/>
    <pivotField showAll="0"/>
    <pivotField axis="axisRow" dataField="1" showAll="0">
      <items count="9">
        <item x="7"/>
        <item x="0"/>
        <item x="1"/>
        <item x="3"/>
        <item x="5"/>
        <item x="2"/>
        <item x="4"/>
        <item x="6"/>
        <item t="default"/>
      </items>
    </pivotField>
    <pivotField showAll="0"/>
    <pivotField showAll="0"/>
    <pivotField showAll="0"/>
    <pivotField axis="axisCol" numFmtId="15" showAll="0">
      <items count="15">
        <item x="0"/>
        <item x="1"/>
        <item x="2"/>
        <item x="3"/>
        <item x="4"/>
        <item x="5"/>
        <item x="6"/>
        <item x="7"/>
        <item x="8"/>
        <item x="9"/>
        <item x="10"/>
        <item x="11"/>
        <item x="12"/>
        <item x="13"/>
        <item t="default"/>
      </items>
    </pivotField>
    <pivotField numFmtId="15" showAll="0"/>
    <pivotField showAll="0"/>
    <pivotField showAll="0"/>
    <pivotField showAll="0"/>
    <pivotField showAll="0"/>
    <pivotField showAll="0"/>
    <pivotField showAll="0"/>
    <pivotField showAll="0"/>
    <pivotField showAll="0"/>
    <pivotField numFmtId="1" showAll="0"/>
    <pivotField showAll="0"/>
  </pivotFields>
  <rowFields count="1">
    <field x="2"/>
  </rowFields>
  <rowItems count="9">
    <i>
      <x/>
    </i>
    <i>
      <x v="1"/>
    </i>
    <i>
      <x v="2"/>
    </i>
    <i>
      <x v="3"/>
    </i>
    <i>
      <x v="4"/>
    </i>
    <i>
      <x v="5"/>
    </i>
    <i>
      <x v="6"/>
    </i>
    <i>
      <x v="7"/>
    </i>
    <i t="grand">
      <x/>
    </i>
  </rowItems>
  <colFields count="1">
    <field x="6"/>
  </colFields>
  <colItems count="4">
    <i>
      <x v="1"/>
    </i>
    <i>
      <x v="2"/>
    </i>
    <i>
      <x v="3"/>
    </i>
    <i t="grand">
      <x/>
    </i>
  </colItems>
  <dataFields count="1">
    <dataField name="Cuenta de TIPO REQ."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Tabla dinámica11" cacheId="1"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105:E116" firstHeaderRow="1" firstDataRow="2" firstDataCol="1"/>
  <pivotFields count="18">
    <pivotField showAll="0"/>
    <pivotField showAll="0"/>
    <pivotField dataField="1" showAll="0"/>
    <pivotField showAll="0"/>
    <pivotField showAll="0"/>
    <pivotField showAll="0"/>
    <pivotField axis="axisCol" numFmtId="15" showAll="0">
      <items count="15">
        <item x="0"/>
        <item x="1"/>
        <item x="2"/>
        <item x="3"/>
        <item x="4"/>
        <item x="5"/>
        <item x="6"/>
        <item x="7"/>
        <item x="8"/>
        <item x="9"/>
        <item x="10"/>
        <item x="11"/>
        <item x="12"/>
        <item x="13"/>
        <item t="default"/>
      </items>
    </pivotField>
    <pivotField numFmtId="15" showAll="0"/>
    <pivotField showAll="0"/>
    <pivotField showAll="0"/>
    <pivotField showAll="0"/>
    <pivotField showAll="0"/>
    <pivotField axis="axisRow" showAll="0" sortType="ascending">
      <items count="10">
        <item x="8"/>
        <item x="2"/>
        <item x="5"/>
        <item x="7"/>
        <item x="3"/>
        <item x="6"/>
        <item x="1"/>
        <item x="4"/>
        <item x="0"/>
        <item t="default"/>
      </items>
      <autoSortScope>
        <pivotArea dataOnly="0" outline="0" fieldPosition="0">
          <references count="1">
            <reference field="4294967294" count="1" selected="0">
              <x v="0"/>
            </reference>
          </references>
        </pivotArea>
      </autoSortScope>
    </pivotField>
    <pivotField showAll="0"/>
    <pivotField showAll="0"/>
    <pivotField showAll="0"/>
    <pivotField numFmtId="1" showAll="0"/>
    <pivotField showAll="0"/>
  </pivotFields>
  <rowFields count="1">
    <field x="12"/>
  </rowFields>
  <rowItems count="10">
    <i>
      <x v="3"/>
    </i>
    <i>
      <x v="6"/>
    </i>
    <i>
      <x v="4"/>
    </i>
    <i>
      <x v="1"/>
    </i>
    <i>
      <x v="7"/>
    </i>
    <i>
      <x v="2"/>
    </i>
    <i>
      <x/>
    </i>
    <i>
      <x v="5"/>
    </i>
    <i>
      <x v="8"/>
    </i>
    <i t="grand">
      <x/>
    </i>
  </rowItems>
  <colFields count="1">
    <field x="6"/>
  </colFields>
  <colItems count="4">
    <i>
      <x v="1"/>
    </i>
    <i>
      <x v="2"/>
    </i>
    <i>
      <x v="3"/>
    </i>
    <i t="grand">
      <x/>
    </i>
  </colItems>
  <dataFields count="1">
    <dataField name="Cuenta de TIPO REQ."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Tabla dinámica1" cacheId="1"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83:E92" firstHeaderRow="1" firstDataRow="2" firstDataCol="1"/>
  <pivotFields count="18">
    <pivotField showAll="0"/>
    <pivotField showAll="0"/>
    <pivotField axis="axisRow" dataField="1" showAll="0">
      <items count="9">
        <item h="1" x="7"/>
        <item h="1" x="0"/>
        <item h="1" x="1"/>
        <item x="3"/>
        <item h="1" x="5"/>
        <item h="1" x="2"/>
        <item h="1" x="4"/>
        <item h="1" x="6"/>
        <item t="default"/>
      </items>
    </pivotField>
    <pivotField showAll="0"/>
    <pivotField showAll="0"/>
    <pivotField showAll="0"/>
    <pivotField axis="axisCol" numFmtId="15" showAll="0">
      <items count="15">
        <item x="0"/>
        <item x="1"/>
        <item x="2"/>
        <item x="3"/>
        <item x="4"/>
        <item x="5"/>
        <item x="6"/>
        <item x="7"/>
        <item x="8"/>
        <item x="9"/>
        <item x="10"/>
        <item x="11"/>
        <item x="12"/>
        <item x="13"/>
        <item t="default"/>
      </items>
    </pivotField>
    <pivotField numFmtId="15" showAll="0"/>
    <pivotField showAll="0"/>
    <pivotField showAll="0"/>
    <pivotField showAll="0"/>
    <pivotField showAll="0"/>
    <pivotField axis="axisRow" showAll="0" sortType="ascending">
      <items count="10">
        <item x="8"/>
        <item x="2"/>
        <item x="5"/>
        <item x="7"/>
        <item x="3"/>
        <item x="6"/>
        <item x="1"/>
        <item x="4"/>
        <item x="0"/>
        <item t="default"/>
      </items>
      <autoSortScope>
        <pivotArea dataOnly="0" outline="0" fieldPosition="0">
          <references count="1">
            <reference field="4294967294" count="1" selected="0">
              <x v="0"/>
            </reference>
          </references>
        </pivotArea>
      </autoSortScope>
    </pivotField>
    <pivotField showAll="0"/>
    <pivotField showAll="0"/>
    <pivotField showAll="0"/>
    <pivotField numFmtId="1" showAll="0"/>
    <pivotField showAll="0"/>
  </pivotFields>
  <rowFields count="2">
    <field x="2"/>
    <field x="12"/>
  </rowFields>
  <rowItems count="8">
    <i>
      <x v="3"/>
    </i>
    <i r="1">
      <x v="4"/>
    </i>
    <i r="1">
      <x v="5"/>
    </i>
    <i r="1">
      <x v="2"/>
    </i>
    <i r="1">
      <x v="7"/>
    </i>
    <i r="1">
      <x/>
    </i>
    <i r="1">
      <x v="8"/>
    </i>
    <i t="grand">
      <x/>
    </i>
  </rowItems>
  <colFields count="1">
    <field x="6"/>
  </colFields>
  <colItems count="4">
    <i>
      <x v="1"/>
    </i>
    <i>
      <x v="2"/>
    </i>
    <i>
      <x v="3"/>
    </i>
    <i t="grand">
      <x/>
    </i>
  </colItems>
  <dataFields count="1">
    <dataField name="Cuenta de TIPO REQ."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xml><?xml version="1.0" encoding="utf-8"?>
<pivotTableDefinition xmlns="http://schemas.openxmlformats.org/spreadsheetml/2006/main" name="Tabla dinámica7" cacheId="1"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60:E80" firstHeaderRow="1" firstDataRow="2" firstDataCol="1"/>
  <pivotFields count="18">
    <pivotField showAll="0"/>
    <pivotField showAll="0"/>
    <pivotField dataField="1" showAll="0"/>
    <pivotField showAll="0"/>
    <pivotField showAll="0"/>
    <pivotField showAll="0"/>
    <pivotField axis="axisCol" numFmtId="15" showAll="0">
      <items count="15">
        <item x="0"/>
        <item x="1"/>
        <item x="2"/>
        <item x="3"/>
        <item x="4"/>
        <item x="5"/>
        <item x="6"/>
        <item x="7"/>
        <item x="8"/>
        <item x="9"/>
        <item x="10"/>
        <item x="11"/>
        <item x="12"/>
        <item x="13"/>
        <item t="default"/>
      </items>
    </pivotField>
    <pivotField numFmtId="15" showAll="0"/>
    <pivotField showAll="0"/>
    <pivotField showAll="0"/>
    <pivotField showAll="0"/>
    <pivotField showAll="0"/>
    <pivotField axis="axisRow" showAll="0">
      <items count="10">
        <item x="8"/>
        <item x="2"/>
        <item x="5"/>
        <item x="7"/>
        <item x="3"/>
        <item x="6"/>
        <item x="1"/>
        <item x="4"/>
        <item x="0"/>
        <item t="default"/>
      </items>
    </pivotField>
    <pivotField showAll="0"/>
    <pivotField showAll="0"/>
    <pivotField showAll="0"/>
    <pivotField numFmtId="1" showAll="0"/>
    <pivotField axis="axisRow" showAll="0">
      <items count="4">
        <item x="0"/>
        <item x="2"/>
        <item x="1"/>
        <item t="default"/>
      </items>
    </pivotField>
  </pivotFields>
  <rowFields count="2">
    <field x="17"/>
    <field x="12"/>
  </rowFields>
  <rowItems count="19">
    <i>
      <x/>
    </i>
    <i r="1">
      <x/>
    </i>
    <i r="1">
      <x v="1"/>
    </i>
    <i r="1">
      <x v="2"/>
    </i>
    <i r="1">
      <x v="3"/>
    </i>
    <i r="1">
      <x v="4"/>
    </i>
    <i r="1">
      <x v="5"/>
    </i>
    <i r="1">
      <x v="6"/>
    </i>
    <i r="1">
      <x v="7"/>
    </i>
    <i r="1">
      <x v="8"/>
    </i>
    <i>
      <x v="1"/>
    </i>
    <i r="1">
      <x v="4"/>
    </i>
    <i r="1">
      <x v="8"/>
    </i>
    <i>
      <x v="2"/>
    </i>
    <i r="1">
      <x/>
    </i>
    <i r="1">
      <x v="5"/>
    </i>
    <i r="1">
      <x v="7"/>
    </i>
    <i r="1">
      <x v="8"/>
    </i>
    <i t="grand">
      <x/>
    </i>
  </rowItems>
  <colFields count="1">
    <field x="6"/>
  </colFields>
  <colItems count="4">
    <i>
      <x v="1"/>
    </i>
    <i>
      <x v="2"/>
    </i>
    <i>
      <x v="3"/>
    </i>
    <i t="grand">
      <x/>
    </i>
  </colItems>
  <dataFields count="1">
    <dataField name="Cuenta de TIPO REQ."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7.xml><?xml version="1.0" encoding="utf-8"?>
<pivotTableDefinition xmlns="http://schemas.openxmlformats.org/spreadsheetml/2006/main" name="Tabla dinámica8" cacheId="1"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149:E158" firstHeaderRow="1" firstDataRow="2" firstDataCol="1"/>
  <pivotFields count="18">
    <pivotField showAll="0"/>
    <pivotField showAll="0"/>
    <pivotField axis="axisRow" dataField="1" showAll="0">
      <items count="9">
        <item h="1" x="7"/>
        <item h="1" x="0"/>
        <item h="1" x="1"/>
        <item x="3"/>
        <item h="1" x="5"/>
        <item h="1" x="2"/>
        <item h="1" x="4"/>
        <item h="1" x="6"/>
        <item t="default"/>
      </items>
    </pivotField>
    <pivotField showAll="0"/>
    <pivotField showAll="0"/>
    <pivotField showAll="0"/>
    <pivotField axis="axisCol" numFmtId="15" showAll="0">
      <items count="15">
        <item x="0"/>
        <item x="1"/>
        <item x="2"/>
        <item x="3"/>
        <item x="4"/>
        <item x="5"/>
        <item x="6"/>
        <item x="7"/>
        <item x="8"/>
        <item x="9"/>
        <item x="10"/>
        <item x="11"/>
        <item x="12"/>
        <item x="13"/>
        <item t="default"/>
      </items>
    </pivotField>
    <pivotField numFmtId="15" showAll="0"/>
    <pivotField showAll="0"/>
    <pivotField showAll="0"/>
    <pivotField showAll="0"/>
    <pivotField showAll="0"/>
    <pivotField axis="axisRow" showAll="0" sortType="ascending">
      <items count="10">
        <item x="8"/>
        <item x="2"/>
        <item x="5"/>
        <item x="7"/>
        <item x="3"/>
        <item x="6"/>
        <item x="1"/>
        <item x="4"/>
        <item x="0"/>
        <item t="default"/>
      </items>
      <autoSortScope>
        <pivotArea dataOnly="0" outline="0" fieldPosition="0">
          <references count="1">
            <reference field="4294967294" count="1" selected="0">
              <x v="0"/>
            </reference>
          </references>
        </pivotArea>
      </autoSortScope>
    </pivotField>
    <pivotField showAll="0"/>
    <pivotField showAll="0"/>
    <pivotField showAll="0"/>
    <pivotField numFmtId="1" showAll="0"/>
    <pivotField showAll="0"/>
  </pivotFields>
  <rowFields count="2">
    <field x="2"/>
    <field x="12"/>
  </rowFields>
  <rowItems count="8">
    <i>
      <x v="3"/>
    </i>
    <i r="1">
      <x v="4"/>
    </i>
    <i r="1">
      <x v="5"/>
    </i>
    <i r="1">
      <x v="2"/>
    </i>
    <i r="1">
      <x v="7"/>
    </i>
    <i r="1">
      <x/>
    </i>
    <i r="1">
      <x v="8"/>
    </i>
    <i t="grand">
      <x/>
    </i>
  </rowItems>
  <colFields count="1">
    <field x="6"/>
  </colFields>
  <colItems count="4">
    <i>
      <x v="1"/>
    </i>
    <i>
      <x v="2"/>
    </i>
    <i>
      <x v="3"/>
    </i>
    <i t="grand">
      <x/>
    </i>
  </colItems>
  <dataFields count="1">
    <dataField name="Cuenta de TIPO REQ." fld="2" subtotal="count" baseField="0" baseItem="0"/>
  </dataFields>
  <formats count="7">
    <format dxfId="6">
      <pivotArea type="all" dataOnly="0" outline="0" fieldPosition="0"/>
    </format>
    <format dxfId="5">
      <pivotArea outline="0" collapsedLevelsAreSubtotals="1" fieldPosition="0"/>
    </format>
    <format dxfId="4">
      <pivotArea dataOnly="0" labelOnly="1" fieldPosition="0">
        <references count="1">
          <reference field="2" count="0"/>
        </references>
      </pivotArea>
    </format>
    <format dxfId="3">
      <pivotArea dataOnly="0" labelOnly="1" grandRow="1" outline="0" fieldPosition="0"/>
    </format>
    <format dxfId="2">
      <pivotArea dataOnly="0" labelOnly="1" fieldPosition="0">
        <references count="2">
          <reference field="2" count="0" selected="0"/>
          <reference field="12" count="6">
            <x v="0"/>
            <x v="2"/>
            <x v="4"/>
            <x v="5"/>
            <x v="7"/>
            <x v="8"/>
          </reference>
        </references>
      </pivotArea>
    </format>
    <format dxfId="1">
      <pivotArea dataOnly="0" labelOnly="1" fieldPosition="0">
        <references count="1">
          <reference field="6" count="3">
            <x v="1"/>
            <x v="2"/>
            <x v="3"/>
          </reference>
        </references>
      </pivotArea>
    </format>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8.xml><?xml version="1.0" encoding="utf-8"?>
<pivotTableDefinition xmlns="http://schemas.openxmlformats.org/spreadsheetml/2006/main" name="Tabla dinámica15" cacheId="1"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214:E222" firstHeaderRow="1" firstDataRow="2" firstDataCol="1"/>
  <pivotFields count="18">
    <pivotField showAll="0"/>
    <pivotField showAll="0"/>
    <pivotField dataField="1" showAll="0"/>
    <pivotField showAll="0"/>
    <pivotField showAll="0"/>
    <pivotField showAll="0"/>
    <pivotField axis="axisCol" numFmtId="15" showAll="0">
      <items count="15">
        <item x="0"/>
        <item x="1"/>
        <item x="2"/>
        <item x="3"/>
        <item x="4"/>
        <item x="5"/>
        <item x="6"/>
        <item x="7"/>
        <item x="8"/>
        <item x="9"/>
        <item x="10"/>
        <item x="11"/>
        <item x="12"/>
        <item x="13"/>
        <item t="default"/>
      </items>
    </pivotField>
    <pivotField numFmtId="15" showAll="0"/>
    <pivotField showAll="0"/>
    <pivotField showAll="0"/>
    <pivotField showAll="0"/>
    <pivotField axis="axisRow" showAll="0">
      <items count="10">
        <item x="4"/>
        <item x="3"/>
        <item x="8"/>
        <item x="5"/>
        <item x="2"/>
        <item x="7"/>
        <item x="0"/>
        <item x="6"/>
        <item x="1"/>
        <item t="default"/>
      </items>
    </pivotField>
    <pivotField axis="axisRow" showAll="0" sortType="ascending">
      <items count="10">
        <item h="1" x="8"/>
        <item h="1" x="2"/>
        <item h="1" x="5"/>
        <item h="1" x="7"/>
        <item h="1" x="3"/>
        <item h="1" x="6"/>
        <item h="1" x="1"/>
        <item h="1" x="4"/>
        <item x="0"/>
        <item t="default"/>
      </items>
      <autoSortScope>
        <pivotArea dataOnly="0" outline="0" fieldPosition="0">
          <references count="1">
            <reference field="4294967294" count="1" selected="0">
              <x v="0"/>
            </reference>
          </references>
        </pivotArea>
      </autoSortScope>
    </pivotField>
    <pivotField showAll="0"/>
    <pivotField showAll="0"/>
    <pivotField showAll="0"/>
    <pivotField numFmtId="1" showAll="0"/>
    <pivotField showAll="0"/>
  </pivotFields>
  <rowFields count="2">
    <field x="12"/>
    <field x="11"/>
  </rowFields>
  <rowItems count="7">
    <i>
      <x v="8"/>
    </i>
    <i r="1">
      <x v="3"/>
    </i>
    <i r="1">
      <x v="4"/>
    </i>
    <i r="1">
      <x v="5"/>
    </i>
    <i r="1">
      <x v="6"/>
    </i>
    <i r="1">
      <x v="8"/>
    </i>
    <i t="grand">
      <x/>
    </i>
  </rowItems>
  <colFields count="1">
    <field x="6"/>
  </colFields>
  <colItems count="4">
    <i>
      <x v="1"/>
    </i>
    <i>
      <x v="2"/>
    </i>
    <i>
      <x v="3"/>
    </i>
    <i t="grand">
      <x/>
    </i>
  </colItems>
  <dataFields count="1">
    <dataField name="Cuenta de TIPO REQ." fld="2" subtotal="count" baseField="0" baseItem="0"/>
  </dataFields>
  <formats count="10">
    <format dxfId="16">
      <pivotArea grandCol="1" outline="0" collapsedLevelsAreSubtotals="1" fieldPosition="0"/>
    </format>
    <format dxfId="15">
      <pivotArea type="topRight" dataOnly="0" labelOnly="1" outline="0" offset="C1" fieldPosition="0"/>
    </format>
    <format dxfId="14">
      <pivotArea grandCol="1" outline="0" collapsedLevelsAreSubtotals="1" fieldPosition="0"/>
    </format>
    <format dxfId="13">
      <pivotArea type="all" dataOnly="0" outline="0" fieldPosition="0"/>
    </format>
    <format dxfId="12">
      <pivotArea outline="0" collapsedLevelsAreSubtotals="1" fieldPosition="0"/>
    </format>
    <format dxfId="11">
      <pivotArea dataOnly="0" labelOnly="1" fieldPosition="0">
        <references count="1">
          <reference field="12" count="0"/>
        </references>
      </pivotArea>
    </format>
    <format dxfId="10">
      <pivotArea dataOnly="0" labelOnly="1" grandRow="1" outline="0" fieldPosition="0"/>
    </format>
    <format dxfId="9">
      <pivotArea dataOnly="0" labelOnly="1" fieldPosition="0">
        <references count="1">
          <reference field="6" count="3">
            <x v="1"/>
            <x v="2"/>
            <x v="3"/>
          </reference>
        </references>
      </pivotArea>
    </format>
    <format dxfId="8">
      <pivotArea dataOnly="0" labelOnly="1" grandCol="1" outline="0" fieldPosition="0"/>
    </format>
    <format dxfId="7">
      <pivotArea grandRow="1"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9.xml><?xml version="1.0" encoding="utf-8"?>
<pivotTableDefinition xmlns="http://schemas.openxmlformats.org/spreadsheetml/2006/main" name="Tabla dinámica5" cacheId="1"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3:E13" firstHeaderRow="1" firstDataRow="2" firstDataCol="1"/>
  <pivotFields count="18">
    <pivotField showAll="0"/>
    <pivotField showAll="0"/>
    <pivotField axis="axisRow" dataField="1" showAll="0" sortType="ascending">
      <items count="9">
        <item x="7"/>
        <item x="0"/>
        <item x="1"/>
        <item x="3"/>
        <item x="5"/>
        <item x="2"/>
        <item x="4"/>
        <item x="6"/>
        <item t="default"/>
      </items>
      <autoSortScope>
        <pivotArea dataOnly="0" outline="0" fieldPosition="0">
          <references count="1">
            <reference field="4294967294" count="1" selected="0">
              <x v="0"/>
            </reference>
          </references>
        </pivotArea>
      </autoSortScope>
    </pivotField>
    <pivotField showAll="0"/>
    <pivotField showAll="0"/>
    <pivotField showAll="0"/>
    <pivotField axis="axisCol" numFmtId="15" showAll="0">
      <items count="15">
        <item x="0"/>
        <item x="1"/>
        <item x="2"/>
        <item x="3"/>
        <item x="4"/>
        <item x="5"/>
        <item x="6"/>
        <item x="7"/>
        <item x="8"/>
        <item x="9"/>
        <item x="10"/>
        <item x="11"/>
        <item x="12"/>
        <item x="13"/>
        <item t="default"/>
      </items>
    </pivotField>
    <pivotField numFmtId="15" showAll="0"/>
    <pivotField showAll="0"/>
    <pivotField showAll="0"/>
    <pivotField showAll="0"/>
    <pivotField showAll="0"/>
    <pivotField showAll="0"/>
    <pivotField showAll="0"/>
    <pivotField showAll="0"/>
    <pivotField showAll="0"/>
    <pivotField numFmtId="1" showAll="0"/>
    <pivotField showAll="0"/>
  </pivotFields>
  <rowFields count="1">
    <field x="2"/>
  </rowFields>
  <rowItems count="9">
    <i>
      <x/>
    </i>
    <i>
      <x v="5"/>
    </i>
    <i>
      <x v="6"/>
    </i>
    <i>
      <x v="4"/>
    </i>
    <i>
      <x v="1"/>
    </i>
    <i>
      <x v="3"/>
    </i>
    <i>
      <x v="7"/>
    </i>
    <i>
      <x v="2"/>
    </i>
    <i t="grand">
      <x/>
    </i>
  </rowItems>
  <colFields count="1">
    <field x="6"/>
  </colFields>
  <colItems count="4">
    <i>
      <x v="1"/>
    </i>
    <i>
      <x v="2"/>
    </i>
    <i>
      <x v="3"/>
    </i>
    <i t="grand">
      <x/>
    </i>
  </colItems>
  <dataFields count="1">
    <dataField name="Cuenta de TIPO REQ." fld="2" subtotal="count" baseField="0" baseItem="0"/>
  </dataFields>
  <formats count="11">
    <format dxfId="27">
      <pivotArea outline="0" collapsedLevelsAreSubtotals="1" fieldPosition="0"/>
    </format>
    <format dxfId="26">
      <pivotArea outline="0" collapsedLevelsAreSubtotals="1" fieldPosition="0"/>
    </format>
    <format dxfId="25">
      <pivotArea type="all" dataOnly="0" outline="0" fieldPosition="0"/>
    </format>
    <format dxfId="24">
      <pivotArea outline="0" collapsedLevelsAreSubtotals="1" fieldPosition="0"/>
    </format>
    <format dxfId="23">
      <pivotArea dataOnly="0" labelOnly="1" fieldPosition="0">
        <references count="1">
          <reference field="2" count="0"/>
        </references>
      </pivotArea>
    </format>
    <format dxfId="22">
      <pivotArea dataOnly="0" labelOnly="1" grandRow="1" outline="0" fieldPosition="0"/>
    </format>
    <format dxfId="21">
      <pivotArea dataOnly="0" labelOnly="1" fieldPosition="0">
        <references count="1">
          <reference field="6" count="3">
            <x v="1"/>
            <x v="2"/>
            <x v="3"/>
          </reference>
        </references>
      </pivotArea>
    </format>
    <format dxfId="20">
      <pivotArea dataOnly="0" labelOnly="1" grandCol="1" outline="0" fieldPosition="0"/>
    </format>
    <format dxfId="19">
      <pivotArea grandRow="1" outline="0" collapsedLevelsAreSubtotals="1" fieldPosition="0"/>
    </format>
    <format dxfId="18">
      <pivotArea dataOnly="0" labelOnly="1" grandRow="1" outline="0" fieldPosition="0"/>
    </format>
    <format dxfId="17">
      <pivotArea grandCol="1"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pivotTable" Target="../pivotTables/pivotTable3.xml"/><Relationship Id="rId7" Type="http://schemas.openxmlformats.org/officeDocument/2006/relationships/printerSettings" Target="../printerSettings/printerSettings3.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8" Type="http://schemas.openxmlformats.org/officeDocument/2006/relationships/pivotTable" Target="../pivotTables/pivotTable14.xml"/><Relationship Id="rId13" Type="http://schemas.openxmlformats.org/officeDocument/2006/relationships/drawing" Target="../drawings/drawing4.xml"/><Relationship Id="rId3" Type="http://schemas.openxmlformats.org/officeDocument/2006/relationships/pivotTable" Target="../pivotTables/pivotTable9.xml"/><Relationship Id="rId7" Type="http://schemas.openxmlformats.org/officeDocument/2006/relationships/pivotTable" Target="../pivotTables/pivotTable13.xml"/><Relationship Id="rId12" Type="http://schemas.openxmlformats.org/officeDocument/2006/relationships/printerSettings" Target="../printerSettings/printerSettings4.bin"/><Relationship Id="rId2" Type="http://schemas.openxmlformats.org/officeDocument/2006/relationships/pivotTable" Target="../pivotTables/pivotTable8.xml"/><Relationship Id="rId1" Type="http://schemas.openxmlformats.org/officeDocument/2006/relationships/pivotTable" Target="../pivotTables/pivotTable7.xml"/><Relationship Id="rId6" Type="http://schemas.openxmlformats.org/officeDocument/2006/relationships/pivotTable" Target="../pivotTables/pivotTable12.xml"/><Relationship Id="rId11" Type="http://schemas.openxmlformats.org/officeDocument/2006/relationships/pivotTable" Target="../pivotTables/pivotTable17.xml"/><Relationship Id="rId5" Type="http://schemas.openxmlformats.org/officeDocument/2006/relationships/pivotTable" Target="../pivotTables/pivotTable11.xml"/><Relationship Id="rId10" Type="http://schemas.openxmlformats.org/officeDocument/2006/relationships/pivotTable" Target="../pivotTables/pivotTable16.xml"/><Relationship Id="rId4" Type="http://schemas.openxmlformats.org/officeDocument/2006/relationships/pivotTable" Target="../pivotTables/pivotTable10.xml"/><Relationship Id="rId9" Type="http://schemas.openxmlformats.org/officeDocument/2006/relationships/pivotTable" Target="../pivotTables/pivotTable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5"/>
  <sheetViews>
    <sheetView tabSelected="1" zoomScale="70" zoomScaleNormal="70" workbookViewId="0">
      <pane ySplit="5" topLeftCell="A6" activePane="bottomLeft" state="frozen"/>
      <selection pane="bottomLeft" activeCell="K5" sqref="K1:K1048576"/>
    </sheetView>
  </sheetViews>
  <sheetFormatPr baseColWidth="10" defaultRowHeight="15" x14ac:dyDescent="0.25"/>
  <cols>
    <col min="1" max="1" width="5" customWidth="1"/>
    <col min="2" max="2" width="4.140625" customWidth="1"/>
    <col min="3" max="3" width="16.5703125" customWidth="1"/>
    <col min="4" max="4" width="13.7109375" customWidth="1"/>
    <col min="5" max="5" width="14.5703125" customWidth="1"/>
    <col min="6" max="6" width="13.140625" customWidth="1"/>
    <col min="7" max="7" width="12" customWidth="1"/>
    <col min="8" max="8" width="12.5703125" customWidth="1"/>
    <col min="9" max="9" width="12.140625" customWidth="1"/>
    <col min="10" max="10" width="22.42578125" customWidth="1"/>
    <col min="11" max="11" width="99.5703125" hidden="1" customWidth="1"/>
    <col min="12" max="12" width="26.28515625" customWidth="1"/>
    <col min="13" max="13" width="17.28515625" customWidth="1"/>
    <col min="14" max="14" width="14.28515625" bestFit="1" customWidth="1"/>
    <col min="15" max="15" width="20.42578125" customWidth="1"/>
    <col min="16" max="16" width="9" customWidth="1"/>
    <col min="17" max="17" width="25.42578125" customWidth="1"/>
    <col min="18" max="18" width="13.5703125" customWidth="1"/>
  </cols>
  <sheetData>
    <row r="1" spans="1:18" ht="19.5" customHeight="1" x14ac:dyDescent="0.25">
      <c r="A1" s="151"/>
      <c r="B1" s="151"/>
      <c r="C1" s="151"/>
      <c r="D1" s="151"/>
      <c r="E1" s="153" t="s">
        <v>0</v>
      </c>
      <c r="F1" s="154"/>
      <c r="G1" s="153" t="s">
        <v>1</v>
      </c>
      <c r="H1" s="157"/>
      <c r="I1" s="157"/>
      <c r="J1" s="157"/>
      <c r="K1" s="157"/>
      <c r="L1" s="157"/>
      <c r="M1" s="157"/>
      <c r="N1" s="154"/>
      <c r="O1" s="145" t="s">
        <v>2</v>
      </c>
      <c r="P1" s="153" t="s">
        <v>3</v>
      </c>
      <c r="Q1" s="157"/>
      <c r="R1" s="154"/>
    </row>
    <row r="2" spans="1:18" ht="19.5" customHeight="1" x14ac:dyDescent="0.25">
      <c r="A2" s="151"/>
      <c r="B2" s="151"/>
      <c r="C2" s="151"/>
      <c r="D2" s="151"/>
      <c r="E2" s="155"/>
      <c r="F2" s="156"/>
      <c r="G2" s="155"/>
      <c r="H2" s="158"/>
      <c r="I2" s="158"/>
      <c r="J2" s="158"/>
      <c r="K2" s="158"/>
      <c r="L2" s="158"/>
      <c r="M2" s="158"/>
      <c r="N2" s="156"/>
      <c r="O2" s="145" t="s">
        <v>4</v>
      </c>
      <c r="P2" s="159" t="s">
        <v>5</v>
      </c>
      <c r="Q2" s="160"/>
      <c r="R2" s="161"/>
    </row>
    <row r="3" spans="1:18" ht="19.5" customHeight="1" x14ac:dyDescent="0.25">
      <c r="A3" s="151"/>
      <c r="B3" s="151"/>
      <c r="C3" s="151"/>
      <c r="D3" s="151"/>
      <c r="E3" s="162" t="s">
        <v>6</v>
      </c>
      <c r="F3" s="162"/>
      <c r="G3" s="153" t="s">
        <v>7</v>
      </c>
      <c r="H3" s="157"/>
      <c r="I3" s="157"/>
      <c r="J3" s="157"/>
      <c r="K3" s="157"/>
      <c r="L3" s="157"/>
      <c r="M3" s="157"/>
      <c r="N3" s="154"/>
      <c r="O3" s="145" t="s">
        <v>8</v>
      </c>
      <c r="P3" s="167" t="s">
        <v>9</v>
      </c>
      <c r="Q3" s="168"/>
      <c r="R3" s="169"/>
    </row>
    <row r="4" spans="1:18" ht="19.5" customHeight="1" x14ac:dyDescent="0.25">
      <c r="A4" s="152"/>
      <c r="B4" s="152"/>
      <c r="C4" s="152"/>
      <c r="D4" s="152"/>
      <c r="E4" s="163"/>
      <c r="F4" s="163"/>
      <c r="G4" s="164"/>
      <c r="H4" s="165"/>
      <c r="I4" s="165"/>
      <c r="J4" s="165"/>
      <c r="K4" s="165"/>
      <c r="L4" s="165"/>
      <c r="M4" s="165"/>
      <c r="N4" s="166"/>
      <c r="O4" s="146" t="s">
        <v>10</v>
      </c>
      <c r="P4" s="170">
        <v>41935</v>
      </c>
      <c r="Q4" s="171"/>
      <c r="R4" s="172"/>
    </row>
    <row r="5" spans="1:18" ht="68.25" customHeight="1" x14ac:dyDescent="0.25">
      <c r="A5" s="147" t="s">
        <v>11</v>
      </c>
      <c r="B5" s="147" t="s">
        <v>12</v>
      </c>
      <c r="C5" s="147" t="s">
        <v>13</v>
      </c>
      <c r="D5" s="147" t="s">
        <v>14</v>
      </c>
      <c r="E5" s="147" t="s">
        <v>15</v>
      </c>
      <c r="F5" s="147" t="s">
        <v>16</v>
      </c>
      <c r="G5" s="147" t="s">
        <v>17</v>
      </c>
      <c r="H5" s="147" t="s">
        <v>18</v>
      </c>
      <c r="I5" s="147" t="s">
        <v>19</v>
      </c>
      <c r="J5" s="147" t="s">
        <v>55</v>
      </c>
      <c r="K5" s="147" t="s">
        <v>20</v>
      </c>
      <c r="L5" s="147" t="s">
        <v>21</v>
      </c>
      <c r="M5" s="147" t="s">
        <v>22</v>
      </c>
      <c r="N5" s="147" t="s">
        <v>23</v>
      </c>
      <c r="O5" s="147" t="s">
        <v>53</v>
      </c>
      <c r="P5" s="147" t="s">
        <v>24</v>
      </c>
      <c r="Q5" s="148" t="s">
        <v>456</v>
      </c>
      <c r="R5" s="147" t="s">
        <v>26</v>
      </c>
    </row>
    <row r="6" spans="1:18" ht="210" x14ac:dyDescent="0.25">
      <c r="A6" s="15">
        <v>1</v>
      </c>
      <c r="B6" s="15">
        <v>1</v>
      </c>
      <c r="C6" s="15" t="s">
        <v>136</v>
      </c>
      <c r="D6" s="15">
        <v>13202016</v>
      </c>
      <c r="E6" s="15" t="str">
        <f t="shared" ref="E6:E69" si="0">+IF(I6=0,"En Tramite","Atendido")</f>
        <v>Atendido</v>
      </c>
      <c r="F6" s="15" t="s">
        <v>27</v>
      </c>
      <c r="G6" s="16">
        <v>42375</v>
      </c>
      <c r="H6" s="16">
        <f>WORKDAY(G6,IF(C6="SOLICITUD DE COPIA",10,IF(C6="SOLICITUD DE INFORMACIÓN",10,IF(C6="CONSULTA",30,15))),'[1]DIAS LABORALES'!$A$1:$A$16)</f>
        <v>42397</v>
      </c>
      <c r="I6" s="16">
        <v>42390</v>
      </c>
      <c r="J6" s="16" t="s">
        <v>56</v>
      </c>
      <c r="K6" s="15" t="s">
        <v>62</v>
      </c>
      <c r="L6" s="15" t="s">
        <v>31</v>
      </c>
      <c r="M6" s="15" t="s">
        <v>29</v>
      </c>
      <c r="N6" s="15" t="s">
        <v>34</v>
      </c>
      <c r="O6" s="15" t="s">
        <v>132</v>
      </c>
      <c r="P6" s="15" t="str">
        <f t="shared" ref="P6:P69" si="1">LEFT(M6,3)</f>
        <v>SUB</v>
      </c>
      <c r="Q6" s="17">
        <f>NETWORKDAYS(G6,I6,('[1]DIAS LABORALES'!$A$1:$A$16))-1</f>
        <v>10</v>
      </c>
      <c r="R6" s="15" t="str">
        <f>IF(I6=0,"En Tramite",IF(AND(C6="SOLICITUD DE COPIA",Q6&lt;=10),"Dentro de términos",IF(AND(C6="SOLICITUD DE INFORMACIÓN",Q6&lt;=10),"Dentro de términos",IF(AND(OR(C6="DENUNCIA",C6="FELICITACIÓN",C6="QUEJA",C6="RECLAMO",C6="SUGERENCIA",C6="PETICIÓN INTERÉS GENERAL",C6="PETICIÓN INTERÉS PARTICULAR"),Q6&lt;=15),"Dentro de términos","Fuera de términos"))))</f>
        <v>Dentro de términos</v>
      </c>
    </row>
    <row r="7" spans="1:18" ht="45" x14ac:dyDescent="0.25">
      <c r="A7" s="15">
        <v>2</v>
      </c>
      <c r="B7" s="15">
        <v>2</v>
      </c>
      <c r="C7" s="15" t="s">
        <v>135</v>
      </c>
      <c r="D7" s="15">
        <v>19192016</v>
      </c>
      <c r="E7" s="15" t="str">
        <f t="shared" si="0"/>
        <v>Atendido</v>
      </c>
      <c r="F7" s="15" t="s">
        <v>27</v>
      </c>
      <c r="G7" s="16">
        <v>42376</v>
      </c>
      <c r="H7" s="16">
        <f>WORKDAY(G7,IF(C7="SOLICITUD DE COPIA",10,IF(C7="SOLICITUD DE INFORMACIÓN",10,IF(C7="CONSULTA",30,15))),'[1]DIAS LABORALES'!$A$1:$A$16)</f>
        <v>42398</v>
      </c>
      <c r="I7" s="16">
        <v>42384</v>
      </c>
      <c r="J7" s="16" t="s">
        <v>63</v>
      </c>
      <c r="K7" s="15" t="s">
        <v>64</v>
      </c>
      <c r="L7" s="15" t="s">
        <v>31</v>
      </c>
      <c r="M7" s="15" t="s">
        <v>52</v>
      </c>
      <c r="N7" s="15" t="s">
        <v>34</v>
      </c>
      <c r="O7" s="15" t="s">
        <v>128</v>
      </c>
      <c r="P7" s="15" t="str">
        <f t="shared" si="1"/>
        <v>PLA</v>
      </c>
      <c r="Q7" s="17">
        <f>NETWORKDAYS(G7,I7,('[1]DIAS LABORALES'!$A$1:$A$16))-1</f>
        <v>5</v>
      </c>
      <c r="R7" s="15" t="str">
        <f t="shared" ref="R7:R70" si="2">IF(I7=0,"En Tramite",IF(AND(C7="SOLICITUD DE COPIA",Q7&lt;=10),"Dentro de términos",IF(AND(C7="SOLICITUD DE INFORMACIÓN",Q7&lt;=10),"Dentro de términos",IF(AND(OR(C7="DENUNCIA",C7="FELICITACIÓN",C7="QUEJA",C7="RECLAMO",C7="SUGERENCIA",C7="PETICIÓN INTERÉS GENERAL",C7="PETICIÓN INTERÉS PARTICULAR"),Q7&lt;=15),"Dentro de términos","Fuera de términos"))))</f>
        <v>Dentro de términos</v>
      </c>
    </row>
    <row r="8" spans="1:18" ht="180" x14ac:dyDescent="0.25">
      <c r="A8" s="15">
        <v>3</v>
      </c>
      <c r="B8" s="15">
        <v>3</v>
      </c>
      <c r="C8" s="15" t="s">
        <v>136</v>
      </c>
      <c r="D8" s="15">
        <v>20642016</v>
      </c>
      <c r="E8" s="15" t="str">
        <f t="shared" si="0"/>
        <v>Atendido</v>
      </c>
      <c r="F8" s="15" t="s">
        <v>27</v>
      </c>
      <c r="G8" s="16">
        <v>42376</v>
      </c>
      <c r="H8" s="16">
        <f>WORKDAY(G8,IF(C8="SOLICITUD DE COPIA",10,IF(C8="SOLICITUD DE INFORMACIÓN",10,IF(C8="CONSULTA",30,15))),'[1]DIAS LABORALES'!$A$1:$A$16)</f>
        <v>42398</v>
      </c>
      <c r="I8" s="16">
        <v>42390</v>
      </c>
      <c r="J8" s="16" t="s">
        <v>56</v>
      </c>
      <c r="K8" s="15" t="s">
        <v>65</v>
      </c>
      <c r="L8" s="15" t="s">
        <v>31</v>
      </c>
      <c r="M8" s="15" t="s">
        <v>32</v>
      </c>
      <c r="N8" s="15" t="s">
        <v>34</v>
      </c>
      <c r="O8" s="15" t="s">
        <v>130</v>
      </c>
      <c r="P8" s="15" t="str">
        <f t="shared" si="1"/>
        <v>COM</v>
      </c>
      <c r="Q8" s="17">
        <f>NETWORKDAYS(G8,I8,('[1]DIAS LABORALES'!$A$1:$A$16))-1</f>
        <v>9</v>
      </c>
      <c r="R8" s="15" t="str">
        <f t="shared" si="2"/>
        <v>Dentro de términos</v>
      </c>
    </row>
    <row r="9" spans="1:18" ht="285" x14ac:dyDescent="0.25">
      <c r="A9" s="15">
        <v>4</v>
      </c>
      <c r="B9" s="15">
        <v>4</v>
      </c>
      <c r="C9" s="15" t="s">
        <v>136</v>
      </c>
      <c r="D9" s="15">
        <v>20872016</v>
      </c>
      <c r="E9" s="15" t="str">
        <f t="shared" si="0"/>
        <v>Atendido</v>
      </c>
      <c r="F9" s="15" t="s">
        <v>27</v>
      </c>
      <c r="G9" s="16">
        <v>42376</v>
      </c>
      <c r="H9" s="16">
        <f>WORKDAY(G9,IF(C9="SOLICITUD DE COPIA",10,IF(C9="SOLICITUD DE INFORMACIÓN",10,IF(C9="CONSULTA",30,15))),'[1]DIAS LABORALES'!$A$1:$A$16)</f>
        <v>42398</v>
      </c>
      <c r="I9" s="16">
        <v>42390</v>
      </c>
      <c r="J9" s="16" t="s">
        <v>56</v>
      </c>
      <c r="K9" s="15" t="s">
        <v>57</v>
      </c>
      <c r="L9" s="15" t="s">
        <v>31</v>
      </c>
      <c r="M9" s="15" t="s">
        <v>29</v>
      </c>
      <c r="N9" s="15" t="s">
        <v>34</v>
      </c>
      <c r="O9" s="15" t="s">
        <v>133</v>
      </c>
      <c r="P9" s="15" t="str">
        <f t="shared" si="1"/>
        <v>SUB</v>
      </c>
      <c r="Q9" s="17">
        <f>NETWORKDAYS(G9,I9,('[1]DIAS LABORALES'!$A$1:$A$16))-1</f>
        <v>9</v>
      </c>
      <c r="R9" s="15" t="str">
        <f t="shared" si="2"/>
        <v>Dentro de términos</v>
      </c>
    </row>
    <row r="10" spans="1:18" ht="45" x14ac:dyDescent="0.25">
      <c r="A10" s="15">
        <v>5</v>
      </c>
      <c r="B10" s="15">
        <v>5</v>
      </c>
      <c r="C10" s="15" t="s">
        <v>135</v>
      </c>
      <c r="D10" s="15">
        <v>30432016</v>
      </c>
      <c r="E10" s="15" t="str">
        <f t="shared" si="0"/>
        <v>Atendido</v>
      </c>
      <c r="F10" s="15" t="s">
        <v>28</v>
      </c>
      <c r="G10" s="16">
        <v>42377</v>
      </c>
      <c r="H10" s="16">
        <f>WORKDAY(G10,IF(C10="SOLICITUD DE COPIA",10,IF(C10="SOLICITUD DE INFORMACIÓN",10,IF(C10="CONSULTA",30,15))),'[1]DIAS LABORALES'!$A$1:$A$16)</f>
        <v>42401</v>
      </c>
      <c r="I10" s="16">
        <v>42394</v>
      </c>
      <c r="J10" s="16" t="s">
        <v>58</v>
      </c>
      <c r="K10" s="15" t="s">
        <v>59</v>
      </c>
      <c r="L10" s="15" t="s">
        <v>31</v>
      </c>
      <c r="M10" s="15" t="s">
        <v>30</v>
      </c>
      <c r="N10" s="15" t="s">
        <v>35</v>
      </c>
      <c r="O10" s="15" t="s">
        <v>164</v>
      </c>
      <c r="P10" s="15" t="str">
        <f t="shared" si="1"/>
        <v>DIR</v>
      </c>
      <c r="Q10" s="17">
        <f>NETWORKDAYS(G10,I10,('[1]DIAS LABORALES'!$A$1:$A$16))-1</f>
        <v>10</v>
      </c>
      <c r="R10" s="15" t="str">
        <f t="shared" si="2"/>
        <v>Dentro de términos</v>
      </c>
    </row>
    <row r="11" spans="1:18" ht="45" x14ac:dyDescent="0.25">
      <c r="A11" s="15">
        <v>6</v>
      </c>
      <c r="B11" s="15">
        <v>6</v>
      </c>
      <c r="C11" s="15" t="s">
        <v>135</v>
      </c>
      <c r="D11" s="15">
        <v>26952016</v>
      </c>
      <c r="E11" s="15" t="str">
        <f t="shared" si="0"/>
        <v>Atendido</v>
      </c>
      <c r="F11" s="15" t="s">
        <v>27</v>
      </c>
      <c r="G11" s="16">
        <v>42377</v>
      </c>
      <c r="H11" s="16">
        <f>WORKDAY(G11,IF(C11="SOLICITUD DE COPIA",10,IF(C11="SOLICITUD DE INFORMACIÓN",10,IF(C11="CONSULTA",30,15))),'[1]DIAS LABORALES'!$A$1:$A$16)</f>
        <v>42401</v>
      </c>
      <c r="I11" s="16">
        <v>42390</v>
      </c>
      <c r="J11" s="16" t="s">
        <v>60</v>
      </c>
      <c r="K11" s="15" t="s">
        <v>61</v>
      </c>
      <c r="L11" s="15" t="s">
        <v>33</v>
      </c>
      <c r="M11" s="15" t="s">
        <v>29</v>
      </c>
      <c r="N11" s="15" t="s">
        <v>34</v>
      </c>
      <c r="O11" s="15" t="s">
        <v>134</v>
      </c>
      <c r="P11" s="15" t="str">
        <f t="shared" si="1"/>
        <v>SUB</v>
      </c>
      <c r="Q11" s="17">
        <f>NETWORKDAYS(G11,I11,('[1]DIAS LABORALES'!$A$1:$A$16))-1</f>
        <v>8</v>
      </c>
      <c r="R11" s="15" t="str">
        <f t="shared" si="2"/>
        <v>Dentro de términos</v>
      </c>
    </row>
    <row r="12" spans="1:18" ht="45" x14ac:dyDescent="0.25">
      <c r="A12" s="15">
        <v>7</v>
      </c>
      <c r="B12" s="15">
        <v>7</v>
      </c>
      <c r="C12" s="15" t="s">
        <v>135</v>
      </c>
      <c r="D12" s="15">
        <v>41642016</v>
      </c>
      <c r="E12" s="15" t="str">
        <f t="shared" si="0"/>
        <v>Atendido</v>
      </c>
      <c r="F12" s="15" t="s">
        <v>73</v>
      </c>
      <c r="G12" s="16">
        <v>42381</v>
      </c>
      <c r="H12" s="16">
        <f>WORKDAY(G12,IF(C12="SOLICITUD DE COPIA",10,IF(C12="SOLICITUD DE INFORMACIÓN",10,IF(C12="CONSULTA",30,15))),'[1]DIAS LABORALES'!$A$1:$A$16)</f>
        <v>42402</v>
      </c>
      <c r="I12" s="16">
        <v>42383</v>
      </c>
      <c r="J12" s="16" t="s">
        <v>66</v>
      </c>
      <c r="K12" s="15" t="s">
        <v>68</v>
      </c>
      <c r="L12" s="15" t="s">
        <v>31</v>
      </c>
      <c r="M12" s="15" t="s">
        <v>77</v>
      </c>
      <c r="N12" s="15" t="s">
        <v>35</v>
      </c>
      <c r="O12" s="15" t="s">
        <v>129</v>
      </c>
      <c r="P12" s="15" t="str">
        <f t="shared" si="1"/>
        <v>JUR</v>
      </c>
      <c r="Q12" s="17">
        <f>NETWORKDAYS(G12,I12,('[1]DIAS LABORALES'!$A$1:$A$16))-1</f>
        <v>2</v>
      </c>
      <c r="R12" s="15" t="str">
        <f t="shared" si="2"/>
        <v>Dentro de términos</v>
      </c>
    </row>
    <row r="13" spans="1:18" ht="45" x14ac:dyDescent="0.25">
      <c r="A13" s="15">
        <v>8</v>
      </c>
      <c r="B13" s="15">
        <v>8</v>
      </c>
      <c r="C13" s="15" t="s">
        <v>91</v>
      </c>
      <c r="D13" s="15">
        <v>41672016</v>
      </c>
      <c r="E13" s="15" t="str">
        <f t="shared" si="0"/>
        <v>Atendido</v>
      </c>
      <c r="F13" s="15" t="s">
        <v>74</v>
      </c>
      <c r="G13" s="16">
        <v>42381</v>
      </c>
      <c r="H13" s="16">
        <f>WORKDAY(G13,IF(C13="SOLICITUD DE COPIA",10,IF(C13="SOLICITUD DE INFORMACIÓN",10,IF(C13="CONSULTA",30,15))),'[1]DIAS LABORALES'!$A$1:$A$16)</f>
        <v>42395</v>
      </c>
      <c r="I13" s="16">
        <v>42396</v>
      </c>
      <c r="J13" s="16" t="s">
        <v>66</v>
      </c>
      <c r="K13" s="15" t="s">
        <v>69</v>
      </c>
      <c r="L13" s="15" t="s">
        <v>31</v>
      </c>
      <c r="M13" s="15" t="s">
        <v>78</v>
      </c>
      <c r="N13" s="15" t="s">
        <v>35</v>
      </c>
      <c r="O13" s="15" t="s">
        <v>153</v>
      </c>
      <c r="P13" s="15" t="str">
        <f t="shared" si="1"/>
        <v>SUB</v>
      </c>
      <c r="Q13" s="17">
        <f>NETWORKDAYS(G13,I13,('[1]DIAS LABORALES'!$A$1:$A$16))-1</f>
        <v>11</v>
      </c>
      <c r="R13" s="15" t="str">
        <f t="shared" si="2"/>
        <v>Fuera de términos</v>
      </c>
    </row>
    <row r="14" spans="1:18" ht="45" x14ac:dyDescent="0.25">
      <c r="A14" s="15">
        <v>9</v>
      </c>
      <c r="B14" s="15">
        <v>9</v>
      </c>
      <c r="C14" s="15" t="s">
        <v>135</v>
      </c>
      <c r="D14" s="15">
        <v>41722016</v>
      </c>
      <c r="E14" s="15" t="str">
        <f t="shared" si="0"/>
        <v>Atendido</v>
      </c>
      <c r="F14" s="15" t="s">
        <v>75</v>
      </c>
      <c r="G14" s="16">
        <v>42381</v>
      </c>
      <c r="H14" s="16">
        <f>WORKDAY(G14,IF(C14="SOLICITUD DE COPIA",10,IF(C14="SOLICITUD DE INFORMACIÓN",10,IF(C14="CONSULTA",30,15))),'[1]DIAS LABORALES'!$A$1:$A$16)</f>
        <v>42402</v>
      </c>
      <c r="I14" s="16">
        <v>42389</v>
      </c>
      <c r="J14" s="16" t="s">
        <v>66</v>
      </c>
      <c r="K14" s="15" t="s">
        <v>70</v>
      </c>
      <c r="L14" s="15" t="s">
        <v>31</v>
      </c>
      <c r="M14" s="15" t="s">
        <v>93</v>
      </c>
      <c r="N14" s="15" t="s">
        <v>35</v>
      </c>
      <c r="O14" s="15" t="s">
        <v>154</v>
      </c>
      <c r="P14" s="15" t="str">
        <f t="shared" si="1"/>
        <v>DES</v>
      </c>
      <c r="Q14" s="17">
        <f>NETWORKDAYS(G14,I14,('[1]DIAS LABORALES'!$A$1:$A$16))-1</f>
        <v>6</v>
      </c>
      <c r="R14" s="15" t="str">
        <f t="shared" si="2"/>
        <v>Dentro de términos</v>
      </c>
    </row>
    <row r="15" spans="1:18" ht="45" x14ac:dyDescent="0.25">
      <c r="A15" s="15">
        <v>10</v>
      </c>
      <c r="B15" s="15">
        <v>10</v>
      </c>
      <c r="C15" s="15" t="s">
        <v>72</v>
      </c>
      <c r="D15" s="15">
        <v>41772016</v>
      </c>
      <c r="E15" s="15" t="str">
        <f t="shared" si="0"/>
        <v>Atendido</v>
      </c>
      <c r="F15" s="15" t="s">
        <v>76</v>
      </c>
      <c r="G15" s="16">
        <v>42381</v>
      </c>
      <c r="H15" s="16">
        <f>WORKDAY(G15,IF(C15="SOLICITUD DE COPIA",10,IF(C15="SOLICITUD DE INFORMACIÓN",10,IF(C15="CONSULTA",30,15))),'[1]DIAS LABORALES'!$A$1:$A$16)</f>
        <v>42402</v>
      </c>
      <c r="I15" s="16">
        <v>42395</v>
      </c>
      <c r="J15" s="16" t="s">
        <v>67</v>
      </c>
      <c r="K15" s="15" t="s">
        <v>71</v>
      </c>
      <c r="L15" s="15" t="s">
        <v>79</v>
      </c>
      <c r="M15" s="15" t="s">
        <v>29</v>
      </c>
      <c r="N15" s="15" t="s">
        <v>35</v>
      </c>
      <c r="O15" s="15" t="s">
        <v>155</v>
      </c>
      <c r="P15" s="15" t="str">
        <f t="shared" si="1"/>
        <v>SUB</v>
      </c>
      <c r="Q15" s="17">
        <f>NETWORKDAYS(G15,I15,('[1]DIAS LABORALES'!$A$1:$A$16))-1</f>
        <v>10</v>
      </c>
      <c r="R15" s="15" t="str">
        <f t="shared" si="2"/>
        <v>Dentro de términos</v>
      </c>
    </row>
    <row r="16" spans="1:18" ht="330" x14ac:dyDescent="0.25">
      <c r="A16" s="15">
        <v>11</v>
      </c>
      <c r="B16" s="15">
        <v>11</v>
      </c>
      <c r="C16" s="15" t="s">
        <v>81</v>
      </c>
      <c r="D16" s="15">
        <v>46242016</v>
      </c>
      <c r="E16" s="15" t="str">
        <f t="shared" si="0"/>
        <v>Atendido</v>
      </c>
      <c r="F16" s="15" t="s">
        <v>27</v>
      </c>
      <c r="G16" s="16">
        <v>42384</v>
      </c>
      <c r="H16" s="16">
        <f>WORKDAY(G16,IF(C16="SOLICITUD DE COPIA",10,IF(C16="SOLICITUD DE INFORMACIÓN",10,IF(C16="CONSULTA",30,15))),'[1]DIAS LABORALES'!$A$1:$A$16)</f>
        <v>42398</v>
      </c>
      <c r="I16" s="16">
        <v>42397</v>
      </c>
      <c r="J16" s="16" t="s">
        <v>63</v>
      </c>
      <c r="K16" s="15" t="s">
        <v>94</v>
      </c>
      <c r="L16" s="15" t="s">
        <v>31</v>
      </c>
      <c r="M16" s="15" t="s">
        <v>30</v>
      </c>
      <c r="N16" s="15" t="s">
        <v>34</v>
      </c>
      <c r="O16" s="15" t="s">
        <v>156</v>
      </c>
      <c r="P16" s="15" t="str">
        <f t="shared" si="1"/>
        <v>DIR</v>
      </c>
      <c r="Q16" s="17">
        <f>NETWORKDAYS(G16,I16,('[1]DIAS LABORALES'!$A$1:$A$16))-1</f>
        <v>9</v>
      </c>
      <c r="R16" s="15" t="str">
        <f t="shared" si="2"/>
        <v>Dentro de términos</v>
      </c>
    </row>
    <row r="17" spans="1:18" ht="135" x14ac:dyDescent="0.25">
      <c r="A17" s="15">
        <v>12</v>
      </c>
      <c r="B17" s="15">
        <v>12</v>
      </c>
      <c r="C17" s="15" t="s">
        <v>81</v>
      </c>
      <c r="D17" s="15">
        <v>48272016</v>
      </c>
      <c r="E17" s="15" t="str">
        <f t="shared" si="0"/>
        <v>Atendido</v>
      </c>
      <c r="F17" s="15" t="s">
        <v>27</v>
      </c>
      <c r="G17" s="16">
        <v>42384</v>
      </c>
      <c r="H17" s="16">
        <f>WORKDAY(G17,IF(C17="SOLICITUD DE COPIA",10,IF(C17="SOLICITUD DE INFORMACIÓN",10,IF(C17="CONSULTA",30,15))),'[1]DIAS LABORALES'!$A$1:$A$16)</f>
        <v>42398</v>
      </c>
      <c r="I17" s="16">
        <v>42397</v>
      </c>
      <c r="J17" s="16" t="s">
        <v>63</v>
      </c>
      <c r="K17" s="15" t="s">
        <v>95</v>
      </c>
      <c r="L17" s="15" t="s">
        <v>31</v>
      </c>
      <c r="M17" s="15" t="s">
        <v>30</v>
      </c>
      <c r="N17" s="15" t="s">
        <v>34</v>
      </c>
      <c r="O17" s="15" t="s">
        <v>157</v>
      </c>
      <c r="P17" s="15" t="str">
        <f t="shared" si="1"/>
        <v>DIR</v>
      </c>
      <c r="Q17" s="17">
        <f>NETWORKDAYS(G17,I17,('[1]DIAS LABORALES'!$A$1:$A$16))-1</f>
        <v>9</v>
      </c>
      <c r="R17" s="15" t="str">
        <f t="shared" si="2"/>
        <v>Dentro de términos</v>
      </c>
    </row>
    <row r="18" spans="1:18" ht="45" x14ac:dyDescent="0.25">
      <c r="A18" s="15">
        <v>13</v>
      </c>
      <c r="B18" s="15">
        <v>13</v>
      </c>
      <c r="C18" s="15" t="s">
        <v>81</v>
      </c>
      <c r="D18" s="15">
        <v>50852016</v>
      </c>
      <c r="E18" s="15" t="str">
        <f t="shared" si="0"/>
        <v>Atendido</v>
      </c>
      <c r="F18" s="15" t="s">
        <v>80</v>
      </c>
      <c r="G18" s="16">
        <v>42384</v>
      </c>
      <c r="H18" s="16">
        <f>WORKDAY(G18,IF(C18="SOLICITUD DE COPIA",10,IF(C18="SOLICITUD DE INFORMACIÓN",10,IF(C18="CONSULTA",30,15))),'[1]DIAS LABORALES'!$A$1:$A$16)</f>
        <v>42398</v>
      </c>
      <c r="I18" s="16">
        <v>42389</v>
      </c>
      <c r="J18" s="16" t="s">
        <v>82</v>
      </c>
      <c r="K18" s="15" t="s">
        <v>84</v>
      </c>
      <c r="L18" s="15" t="s">
        <v>31</v>
      </c>
      <c r="M18" s="15" t="s">
        <v>83</v>
      </c>
      <c r="N18" s="15" t="s">
        <v>34</v>
      </c>
      <c r="O18" s="15" t="s">
        <v>131</v>
      </c>
      <c r="P18" s="15" t="str">
        <f t="shared" si="1"/>
        <v>MIS</v>
      </c>
      <c r="Q18" s="17">
        <f>NETWORKDAYS(G18,I18,('[1]DIAS LABORALES'!$A$1:$A$16))-1</f>
        <v>3</v>
      </c>
      <c r="R18" s="15" t="str">
        <f t="shared" si="2"/>
        <v>Dentro de términos</v>
      </c>
    </row>
    <row r="19" spans="1:18" ht="45" x14ac:dyDescent="0.25">
      <c r="A19" s="15">
        <v>14</v>
      </c>
      <c r="B19" s="15">
        <v>14</v>
      </c>
      <c r="C19" s="15" t="s">
        <v>135</v>
      </c>
      <c r="D19" s="15">
        <v>53322016</v>
      </c>
      <c r="E19" s="15" t="str">
        <f t="shared" si="0"/>
        <v>Atendido</v>
      </c>
      <c r="F19" s="15" t="s">
        <v>85</v>
      </c>
      <c r="G19" s="16">
        <v>42384</v>
      </c>
      <c r="H19" s="16">
        <f>WORKDAY(G19,IF(C19="SOLICITUD DE COPIA",10,IF(C19="SOLICITUD DE INFORMACIÓN",10,IF(C19="CONSULTA",30,15))),'[1]DIAS LABORALES'!$A$1:$A$16)</f>
        <v>42405</v>
      </c>
      <c r="I19" s="16">
        <v>42404</v>
      </c>
      <c r="J19" s="16" t="s">
        <v>87</v>
      </c>
      <c r="K19" s="15" t="s">
        <v>89</v>
      </c>
      <c r="L19" s="15" t="s">
        <v>31</v>
      </c>
      <c r="M19" s="15" t="s">
        <v>83</v>
      </c>
      <c r="N19" s="15" t="s">
        <v>35</v>
      </c>
      <c r="O19" s="15" t="s">
        <v>216</v>
      </c>
      <c r="P19" s="15" t="str">
        <f t="shared" si="1"/>
        <v>MIS</v>
      </c>
      <c r="Q19" s="17">
        <f>NETWORKDAYS(G19,I19,('[1]DIAS LABORALES'!$A$1:$A$16))-1</f>
        <v>14</v>
      </c>
      <c r="R19" s="15" t="str">
        <f t="shared" si="2"/>
        <v>Dentro de términos</v>
      </c>
    </row>
    <row r="20" spans="1:18" ht="45" x14ac:dyDescent="0.25">
      <c r="A20" s="15">
        <v>15</v>
      </c>
      <c r="B20" s="15">
        <v>15</v>
      </c>
      <c r="C20" s="15" t="s">
        <v>135</v>
      </c>
      <c r="D20" s="15">
        <v>53382016</v>
      </c>
      <c r="E20" s="15" t="str">
        <f t="shared" si="0"/>
        <v>Atendido</v>
      </c>
      <c r="F20" s="15" t="s">
        <v>86</v>
      </c>
      <c r="G20" s="16">
        <v>42384</v>
      </c>
      <c r="H20" s="16">
        <f>WORKDAY(G20,IF(C20="SOLICITUD DE COPIA",10,IF(C20="SOLICITUD DE INFORMACIÓN",10,IF(C20="CONSULTA",30,15))),'[1]DIAS LABORALES'!$A$1:$A$16)</f>
        <v>42405</v>
      </c>
      <c r="I20" s="16">
        <v>42397</v>
      </c>
      <c r="J20" s="16" t="s">
        <v>88</v>
      </c>
      <c r="K20" s="15" t="s">
        <v>90</v>
      </c>
      <c r="L20" s="15" t="s">
        <v>31</v>
      </c>
      <c r="M20" s="15" t="s">
        <v>30</v>
      </c>
      <c r="N20" s="15" t="s">
        <v>35</v>
      </c>
      <c r="O20" s="15" t="s">
        <v>148</v>
      </c>
      <c r="P20" s="15" t="str">
        <f t="shared" si="1"/>
        <v>DIR</v>
      </c>
      <c r="Q20" s="17">
        <f>NETWORKDAYS(G20,I20,('[1]DIAS LABORALES'!$A$1:$A$16))-1</f>
        <v>9</v>
      </c>
      <c r="R20" s="15" t="str">
        <f t="shared" si="2"/>
        <v>Dentro de términos</v>
      </c>
    </row>
    <row r="21" spans="1:18" ht="45" x14ac:dyDescent="0.25">
      <c r="A21" s="15">
        <v>16</v>
      </c>
      <c r="B21" s="15">
        <v>16</v>
      </c>
      <c r="C21" s="15" t="s">
        <v>135</v>
      </c>
      <c r="D21" s="15">
        <v>65712016</v>
      </c>
      <c r="E21" s="15" t="str">
        <f t="shared" si="0"/>
        <v>Atendido</v>
      </c>
      <c r="F21" s="15" t="s">
        <v>92</v>
      </c>
      <c r="G21" s="16">
        <v>42387</v>
      </c>
      <c r="H21" s="16">
        <f>WORKDAY(G21,IF(C21="SOLICITUD DE COPIA",10,IF(C21="SOLICITUD DE INFORMACIÓN",10,IF(C21="CONSULTA",30,15))),'[1]DIAS LABORALES'!$A$1:$A$16)</f>
        <v>42408</v>
      </c>
      <c r="I21" s="16">
        <v>42397</v>
      </c>
      <c r="J21" s="16" t="s">
        <v>96</v>
      </c>
      <c r="K21" s="15" t="s">
        <v>97</v>
      </c>
      <c r="L21" s="15" t="s">
        <v>31</v>
      </c>
      <c r="M21" s="15" t="s">
        <v>29</v>
      </c>
      <c r="N21" s="15" t="s">
        <v>35</v>
      </c>
      <c r="O21" s="15" t="s">
        <v>147</v>
      </c>
      <c r="P21" s="15" t="str">
        <f t="shared" si="1"/>
        <v>SUB</v>
      </c>
      <c r="Q21" s="17">
        <f>NETWORKDAYS(G21,I21,('[1]DIAS LABORALES'!$A$1:$A$16))-1</f>
        <v>8</v>
      </c>
      <c r="R21" s="15" t="str">
        <f t="shared" si="2"/>
        <v>Dentro de términos</v>
      </c>
    </row>
    <row r="22" spans="1:18" ht="120" x14ac:dyDescent="0.25">
      <c r="A22" s="15">
        <v>17</v>
      </c>
      <c r="B22" s="15">
        <v>17</v>
      </c>
      <c r="C22" s="15" t="s">
        <v>135</v>
      </c>
      <c r="D22" s="15">
        <v>57372016</v>
      </c>
      <c r="E22" s="15" t="str">
        <f t="shared" si="0"/>
        <v>Atendido</v>
      </c>
      <c r="F22" s="15" t="s">
        <v>27</v>
      </c>
      <c r="G22" s="16">
        <v>42387</v>
      </c>
      <c r="H22" s="16">
        <f>WORKDAY(G22,IF(C22="SOLICITUD DE COPIA",10,IF(C22="SOLICITUD DE INFORMACIÓN",10,IF(C22="CONSULTA",30,15))),'[1]DIAS LABORALES'!$A$1:$A$16)</f>
        <v>42408</v>
      </c>
      <c r="I22" s="16">
        <v>42398</v>
      </c>
      <c r="J22" s="16" t="s">
        <v>392</v>
      </c>
      <c r="K22" s="15" t="s">
        <v>98</v>
      </c>
      <c r="L22" s="15" t="s">
        <v>31</v>
      </c>
      <c r="M22" s="15" t="s">
        <v>30</v>
      </c>
      <c r="N22" s="15" t="s">
        <v>34</v>
      </c>
      <c r="O22" s="15" t="s">
        <v>179</v>
      </c>
      <c r="P22" s="15" t="str">
        <f t="shared" si="1"/>
        <v>DIR</v>
      </c>
      <c r="Q22" s="17">
        <f>NETWORKDAYS(G22,I22,('[1]DIAS LABORALES'!$A$1:$A$16))-1</f>
        <v>9</v>
      </c>
      <c r="R22" s="15" t="str">
        <f t="shared" si="2"/>
        <v>Dentro de términos</v>
      </c>
    </row>
    <row r="23" spans="1:18" ht="45" x14ac:dyDescent="0.25">
      <c r="A23" s="15">
        <v>18</v>
      </c>
      <c r="B23" s="15">
        <v>18</v>
      </c>
      <c r="C23" s="15" t="s">
        <v>107</v>
      </c>
      <c r="D23" s="15">
        <v>91962016</v>
      </c>
      <c r="E23" s="15" t="str">
        <f t="shared" si="0"/>
        <v>Atendido</v>
      </c>
      <c r="F23" s="15" t="s">
        <v>99</v>
      </c>
      <c r="G23" s="16">
        <v>42391</v>
      </c>
      <c r="H23" s="16">
        <f>WORKDAY(G23,IF(C23="SOLICITUD DE COPIA",10,IF(C23="SOLICITUD DE INFORMACIÓN",10,IF(C23="CONSULTA",30,15))),'[1]DIAS LABORALES'!$A$1:$A$16)</f>
        <v>42412</v>
      </c>
      <c r="I23" s="16">
        <v>42398</v>
      </c>
      <c r="J23" s="16" t="s">
        <v>110</v>
      </c>
      <c r="K23" s="15" t="s">
        <v>119</v>
      </c>
      <c r="L23" s="15" t="s">
        <v>33</v>
      </c>
      <c r="M23" s="15" t="s">
        <v>29</v>
      </c>
      <c r="N23" s="15" t="s">
        <v>111</v>
      </c>
      <c r="O23" s="15" t="s">
        <v>180</v>
      </c>
      <c r="P23" s="15" t="str">
        <f t="shared" si="1"/>
        <v>SUB</v>
      </c>
      <c r="Q23" s="17">
        <f>NETWORKDAYS(G23,I23,('[1]DIAS LABORALES'!$A$1:$A$16))-1</f>
        <v>5</v>
      </c>
      <c r="R23" s="15" t="str">
        <f t="shared" si="2"/>
        <v>Dentro de términos</v>
      </c>
    </row>
    <row r="24" spans="1:18" ht="45" x14ac:dyDescent="0.25">
      <c r="A24" s="15">
        <v>19</v>
      </c>
      <c r="B24" s="15">
        <v>19</v>
      </c>
      <c r="C24" s="15" t="s">
        <v>108</v>
      </c>
      <c r="D24" s="15">
        <v>92032016</v>
      </c>
      <c r="E24" s="15" t="str">
        <f t="shared" si="0"/>
        <v>Atendido</v>
      </c>
      <c r="F24" s="15" t="s">
        <v>100</v>
      </c>
      <c r="G24" s="16">
        <v>42391</v>
      </c>
      <c r="H24" s="16">
        <f>WORKDAY(G24,IF(C24="SOLICITUD DE COPIA",10,IF(C24="SOLICITUD DE INFORMACIÓN",10,IF(C24="CONSULTA",30,15))),'[1]DIAS LABORALES'!$A$1:$A$16)</f>
        <v>42412</v>
      </c>
      <c r="I24" s="16">
        <v>42398</v>
      </c>
      <c r="J24" s="16" t="s">
        <v>113</v>
      </c>
      <c r="K24" s="15" t="s">
        <v>114</v>
      </c>
      <c r="L24" s="15" t="s">
        <v>33</v>
      </c>
      <c r="M24" s="15" t="s">
        <v>29</v>
      </c>
      <c r="N24" s="15" t="s">
        <v>111</v>
      </c>
      <c r="O24" s="15" t="s">
        <v>181</v>
      </c>
      <c r="P24" s="15" t="str">
        <f t="shared" si="1"/>
        <v>SUB</v>
      </c>
      <c r="Q24" s="17">
        <f>NETWORKDAYS(G24,I24,('[1]DIAS LABORALES'!$A$1:$A$16))-1</f>
        <v>5</v>
      </c>
      <c r="R24" s="15" t="str">
        <f t="shared" si="2"/>
        <v>Dentro de términos</v>
      </c>
    </row>
    <row r="25" spans="1:18" ht="45" x14ac:dyDescent="0.25">
      <c r="A25" s="15">
        <v>20</v>
      </c>
      <c r="B25" s="15">
        <v>20</v>
      </c>
      <c r="C25" s="15" t="s">
        <v>108</v>
      </c>
      <c r="D25" s="15">
        <v>92062016</v>
      </c>
      <c r="E25" s="15" t="str">
        <f t="shared" si="0"/>
        <v>Atendido</v>
      </c>
      <c r="F25" s="15" t="s">
        <v>101</v>
      </c>
      <c r="G25" s="16">
        <v>42391</v>
      </c>
      <c r="H25" s="16">
        <f>WORKDAY(G25,IF(C25="SOLICITUD DE COPIA",10,IF(C25="SOLICITUD DE INFORMACIÓN",10,IF(C25="CONSULTA",30,15))),'[1]DIAS LABORALES'!$A$1:$A$16)</f>
        <v>42412</v>
      </c>
      <c r="I25" s="16">
        <v>42398</v>
      </c>
      <c r="J25" s="16" t="s">
        <v>115</v>
      </c>
      <c r="K25" s="15" t="s">
        <v>120</v>
      </c>
      <c r="L25" s="15" t="s">
        <v>33</v>
      </c>
      <c r="M25" s="15" t="s">
        <v>29</v>
      </c>
      <c r="N25" s="15" t="s">
        <v>111</v>
      </c>
      <c r="O25" s="15" t="s">
        <v>182</v>
      </c>
      <c r="P25" s="15" t="str">
        <f t="shared" si="1"/>
        <v>SUB</v>
      </c>
      <c r="Q25" s="17">
        <f>NETWORKDAYS(G25,I25,('[1]DIAS LABORALES'!$A$1:$A$16))-1</f>
        <v>5</v>
      </c>
      <c r="R25" s="15" t="str">
        <f t="shared" si="2"/>
        <v>Dentro de términos</v>
      </c>
    </row>
    <row r="26" spans="1:18" ht="45" x14ac:dyDescent="0.25">
      <c r="A26" s="15">
        <v>21</v>
      </c>
      <c r="B26" s="15">
        <v>21</v>
      </c>
      <c r="C26" s="15" t="s">
        <v>108</v>
      </c>
      <c r="D26" s="15">
        <v>92112016</v>
      </c>
      <c r="E26" s="15" t="str">
        <f t="shared" si="0"/>
        <v>Atendido</v>
      </c>
      <c r="F26" s="15" t="s">
        <v>102</v>
      </c>
      <c r="G26" s="16">
        <v>42391</v>
      </c>
      <c r="H26" s="16">
        <f>WORKDAY(G26,IF(C26="SOLICITUD DE COPIA",10,IF(C26="SOLICITUD DE INFORMACIÓN",10,IF(C26="CONSULTA",30,15))),'[1]DIAS LABORALES'!$A$1:$A$16)</f>
        <v>42412</v>
      </c>
      <c r="I26" s="16">
        <v>42398</v>
      </c>
      <c r="J26" s="16" t="s">
        <v>116</v>
      </c>
      <c r="K26" s="15" t="s">
        <v>121</v>
      </c>
      <c r="L26" s="15" t="s">
        <v>33</v>
      </c>
      <c r="M26" s="15" t="s">
        <v>29</v>
      </c>
      <c r="N26" s="15" t="s">
        <v>111</v>
      </c>
      <c r="O26" s="15" t="s">
        <v>183</v>
      </c>
      <c r="P26" s="15" t="str">
        <f t="shared" si="1"/>
        <v>SUB</v>
      </c>
      <c r="Q26" s="17">
        <f>NETWORKDAYS(G26,I26,('[1]DIAS LABORALES'!$A$1:$A$16))-1</f>
        <v>5</v>
      </c>
      <c r="R26" s="15" t="str">
        <f t="shared" si="2"/>
        <v>Dentro de términos</v>
      </c>
    </row>
    <row r="27" spans="1:18" ht="45" x14ac:dyDescent="0.25">
      <c r="A27" s="15">
        <v>22</v>
      </c>
      <c r="B27" s="15">
        <v>22</v>
      </c>
      <c r="C27" s="15" t="s">
        <v>108</v>
      </c>
      <c r="D27" s="15">
        <v>92192016</v>
      </c>
      <c r="E27" s="15" t="str">
        <f t="shared" si="0"/>
        <v>Atendido</v>
      </c>
      <c r="F27" s="15" t="s">
        <v>103</v>
      </c>
      <c r="G27" s="16">
        <v>42391</v>
      </c>
      <c r="H27" s="16">
        <f>WORKDAY(G27,IF(C27="SOLICITUD DE COPIA",10,IF(C27="SOLICITUD DE INFORMACIÓN",10,IF(C27="CONSULTA",30,15))),'[1]DIAS LABORALES'!$A$1:$A$16)</f>
        <v>42412</v>
      </c>
      <c r="I27" s="16">
        <v>42397</v>
      </c>
      <c r="J27" s="16" t="s">
        <v>117</v>
      </c>
      <c r="K27" s="15" t="s">
        <v>122</v>
      </c>
      <c r="L27" s="15" t="s">
        <v>33</v>
      </c>
      <c r="M27" s="15" t="s">
        <v>29</v>
      </c>
      <c r="N27" s="15" t="s">
        <v>111</v>
      </c>
      <c r="O27" s="15" t="s">
        <v>158</v>
      </c>
      <c r="P27" s="15" t="str">
        <f t="shared" si="1"/>
        <v>SUB</v>
      </c>
      <c r="Q27" s="17">
        <f>NETWORKDAYS(G27,I27,('[1]DIAS LABORALES'!$A$1:$A$16))-1</f>
        <v>4</v>
      </c>
      <c r="R27" s="15" t="str">
        <f t="shared" si="2"/>
        <v>Dentro de términos</v>
      </c>
    </row>
    <row r="28" spans="1:18" ht="45" x14ac:dyDescent="0.25">
      <c r="A28" s="15">
        <v>23</v>
      </c>
      <c r="B28" s="15">
        <v>23</v>
      </c>
      <c r="C28" s="15" t="s">
        <v>108</v>
      </c>
      <c r="D28" s="15">
        <v>92212016</v>
      </c>
      <c r="E28" s="15" t="str">
        <f t="shared" si="0"/>
        <v>Atendido</v>
      </c>
      <c r="F28" s="15" t="s">
        <v>104</v>
      </c>
      <c r="G28" s="16">
        <v>42391</v>
      </c>
      <c r="H28" s="16">
        <f>WORKDAY(G28,IF(C28="SOLICITUD DE COPIA",10,IF(C28="SOLICITUD DE INFORMACIÓN",10,IF(C28="CONSULTA",30,15))),'[1]DIAS LABORALES'!$A$1:$A$16)</f>
        <v>42412</v>
      </c>
      <c r="I28" s="16">
        <v>42397</v>
      </c>
      <c r="J28" s="16" t="s">
        <v>118</v>
      </c>
      <c r="K28" s="15" t="s">
        <v>123</v>
      </c>
      <c r="L28" s="15" t="s">
        <v>33</v>
      </c>
      <c r="M28" s="15" t="s">
        <v>29</v>
      </c>
      <c r="N28" s="15" t="s">
        <v>111</v>
      </c>
      <c r="O28" s="15" t="s">
        <v>159</v>
      </c>
      <c r="P28" s="15" t="str">
        <f t="shared" si="1"/>
        <v>SUB</v>
      </c>
      <c r="Q28" s="17">
        <f>NETWORKDAYS(G28,I28,('[1]DIAS LABORALES'!$A$1:$A$16))-1</f>
        <v>4</v>
      </c>
      <c r="R28" s="15" t="str">
        <f t="shared" si="2"/>
        <v>Dentro de términos</v>
      </c>
    </row>
    <row r="29" spans="1:18" ht="45" x14ac:dyDescent="0.25">
      <c r="A29" s="15">
        <v>24</v>
      </c>
      <c r="B29" s="15">
        <v>24</v>
      </c>
      <c r="C29" s="15" t="s">
        <v>108</v>
      </c>
      <c r="D29" s="15">
        <v>92262016</v>
      </c>
      <c r="E29" s="15" t="str">
        <f t="shared" si="0"/>
        <v>Atendido</v>
      </c>
      <c r="F29" s="15" t="s">
        <v>105</v>
      </c>
      <c r="G29" s="16">
        <v>42391</v>
      </c>
      <c r="H29" s="16">
        <f>WORKDAY(G29,IF(C29="SOLICITUD DE COPIA",10,IF(C29="SOLICITUD DE INFORMACIÓN",10,IF(C29="CONSULTA",30,15))),'[1]DIAS LABORALES'!$A$1:$A$16)</f>
        <v>42412</v>
      </c>
      <c r="I29" s="16">
        <v>42397</v>
      </c>
      <c r="J29" s="16" t="s">
        <v>124</v>
      </c>
      <c r="K29" s="15" t="s">
        <v>127</v>
      </c>
      <c r="L29" s="15" t="s">
        <v>33</v>
      </c>
      <c r="M29" s="15" t="s">
        <v>29</v>
      </c>
      <c r="N29" s="15" t="s">
        <v>111</v>
      </c>
      <c r="O29" s="15" t="s">
        <v>160</v>
      </c>
      <c r="P29" s="15" t="str">
        <f t="shared" si="1"/>
        <v>SUB</v>
      </c>
      <c r="Q29" s="17">
        <f>NETWORKDAYS(G29,I29,('[1]DIAS LABORALES'!$A$1:$A$16))-1</f>
        <v>4</v>
      </c>
      <c r="R29" s="15" t="str">
        <f t="shared" si="2"/>
        <v>Dentro de términos</v>
      </c>
    </row>
    <row r="30" spans="1:18" ht="45" x14ac:dyDescent="0.25">
      <c r="A30" s="15">
        <v>25</v>
      </c>
      <c r="B30" s="15">
        <v>25</v>
      </c>
      <c r="C30" s="15" t="s">
        <v>109</v>
      </c>
      <c r="D30" s="15">
        <v>92302016</v>
      </c>
      <c r="E30" s="15" t="str">
        <f t="shared" si="0"/>
        <v>Atendido</v>
      </c>
      <c r="F30" s="15" t="s">
        <v>106</v>
      </c>
      <c r="G30" s="16">
        <v>42391</v>
      </c>
      <c r="H30" s="16">
        <f>WORKDAY(G30,IF(C30="SOLICITUD DE COPIA",10,IF(C30="SOLICITUD DE INFORMACIÓN",10,IF(C30="CONSULTA",30,15))),'[1]DIAS LABORALES'!$A$1:$A$16)</f>
        <v>42412</v>
      </c>
      <c r="I30" s="16">
        <v>42391</v>
      </c>
      <c r="J30" s="16" t="s">
        <v>125</v>
      </c>
      <c r="K30" s="15" t="s">
        <v>126</v>
      </c>
      <c r="L30" s="15" t="s">
        <v>112</v>
      </c>
      <c r="M30" s="15" t="s">
        <v>32</v>
      </c>
      <c r="N30" s="15" t="s">
        <v>111</v>
      </c>
      <c r="O30" s="15" t="s">
        <v>162</v>
      </c>
      <c r="P30" s="15" t="str">
        <f t="shared" si="1"/>
        <v>COM</v>
      </c>
      <c r="Q30" s="17">
        <f>NETWORKDAYS(G30,I30,('[1]DIAS LABORALES'!$A$1:$A$16))-1</f>
        <v>0</v>
      </c>
      <c r="R30" s="15" t="str">
        <f t="shared" si="2"/>
        <v>Dentro de términos</v>
      </c>
    </row>
    <row r="31" spans="1:18" ht="210" x14ac:dyDescent="0.25">
      <c r="A31" s="15">
        <v>26</v>
      </c>
      <c r="B31" s="15">
        <v>26</v>
      </c>
      <c r="C31" s="15" t="s">
        <v>136</v>
      </c>
      <c r="D31" s="15">
        <v>57182016</v>
      </c>
      <c r="E31" s="15" t="str">
        <f t="shared" si="0"/>
        <v>Atendido</v>
      </c>
      <c r="F31" s="15" t="s">
        <v>27</v>
      </c>
      <c r="G31" s="16">
        <v>42391</v>
      </c>
      <c r="H31" s="16">
        <f>WORKDAY(G31,IF(C31="SOLICITUD DE COPIA",10,IF(C31="SOLICITUD DE INFORMACIÓN",10,IF(C31="CONSULTA",30,15))),'[1]DIAS LABORALES'!$A$1:$A$16)</f>
        <v>42412</v>
      </c>
      <c r="I31" s="16">
        <v>42394</v>
      </c>
      <c r="J31" s="16" t="s">
        <v>140</v>
      </c>
      <c r="K31" s="15" t="s">
        <v>141</v>
      </c>
      <c r="L31" s="15" t="s">
        <v>31</v>
      </c>
      <c r="M31" s="15" t="s">
        <v>83</v>
      </c>
      <c r="N31" s="15" t="s">
        <v>34</v>
      </c>
      <c r="O31" s="15" t="s">
        <v>161</v>
      </c>
      <c r="P31" s="15" t="str">
        <f t="shared" si="1"/>
        <v>MIS</v>
      </c>
      <c r="Q31" s="17">
        <f>NETWORKDAYS(G31,I31,('[1]DIAS LABORALES'!$A$1:$A$16))-1</f>
        <v>1</v>
      </c>
      <c r="R31" s="15" t="str">
        <f t="shared" si="2"/>
        <v>Dentro de términos</v>
      </c>
    </row>
    <row r="32" spans="1:18" ht="45" x14ac:dyDescent="0.25">
      <c r="A32" s="15">
        <v>27</v>
      </c>
      <c r="B32" s="15">
        <v>27</v>
      </c>
      <c r="C32" s="15" t="s">
        <v>136</v>
      </c>
      <c r="D32" s="15">
        <v>80852016</v>
      </c>
      <c r="E32" s="15" t="str">
        <f t="shared" si="0"/>
        <v>Atendido</v>
      </c>
      <c r="F32" s="15" t="s">
        <v>27</v>
      </c>
      <c r="G32" s="16">
        <v>42391</v>
      </c>
      <c r="H32" s="16">
        <f>WORKDAY(G32,IF(C32="SOLICITUD DE COPIA",10,IF(C32="SOLICITUD DE INFORMACIÓN",10,IF(C32="CONSULTA",30,15))),'[1]DIAS LABORALES'!$A$1:$A$16)</f>
        <v>42412</v>
      </c>
      <c r="I32" s="16">
        <v>42394</v>
      </c>
      <c r="J32" s="16" t="s">
        <v>142</v>
      </c>
      <c r="K32" s="15" t="s">
        <v>143</v>
      </c>
      <c r="L32" s="15" t="s">
        <v>31</v>
      </c>
      <c r="M32" s="15" t="s">
        <v>83</v>
      </c>
      <c r="N32" s="15" t="s">
        <v>34</v>
      </c>
      <c r="O32" s="15" t="s">
        <v>163</v>
      </c>
      <c r="P32" s="15" t="str">
        <f t="shared" si="1"/>
        <v>MIS</v>
      </c>
      <c r="Q32" s="17">
        <f>NETWORKDAYS(G32,I32,('[1]DIAS LABORALES'!$A$1:$A$16))-1</f>
        <v>1</v>
      </c>
      <c r="R32" s="15" t="str">
        <f t="shared" si="2"/>
        <v>Dentro de términos</v>
      </c>
    </row>
    <row r="33" spans="1:18" ht="45" x14ac:dyDescent="0.25">
      <c r="A33" s="15">
        <v>28</v>
      </c>
      <c r="B33" s="15">
        <v>28</v>
      </c>
      <c r="C33" s="15" t="s">
        <v>72</v>
      </c>
      <c r="D33" s="15">
        <v>102752016</v>
      </c>
      <c r="E33" s="15" t="str">
        <f t="shared" si="0"/>
        <v>Atendido</v>
      </c>
      <c r="F33" s="15" t="s">
        <v>139</v>
      </c>
      <c r="G33" s="16">
        <v>42394</v>
      </c>
      <c r="H33" s="16">
        <f>WORKDAY(G33,IF(C33="SOLICITUD DE COPIA",10,IF(C33="SOLICITUD DE INFORMACIÓN",10,IF(C33="CONSULTA",30,15))),'[1]DIAS LABORALES'!$A$1:$A$16)</f>
        <v>42415</v>
      </c>
      <c r="I33" s="16">
        <v>42412</v>
      </c>
      <c r="J33" s="16" t="s">
        <v>144</v>
      </c>
      <c r="K33" s="15" t="s">
        <v>145</v>
      </c>
      <c r="L33" s="15" t="s">
        <v>234</v>
      </c>
      <c r="M33" s="15" t="s">
        <v>78</v>
      </c>
      <c r="N33" s="15" t="s">
        <v>35</v>
      </c>
      <c r="O33" s="15" t="s">
        <v>282</v>
      </c>
      <c r="P33" s="15" t="str">
        <f t="shared" si="1"/>
        <v>SUB</v>
      </c>
      <c r="Q33" s="17">
        <f>NETWORKDAYS(G33,I33,('[1]DIAS LABORALES'!$A$1:$A$16))-1</f>
        <v>14</v>
      </c>
      <c r="R33" s="15" t="str">
        <f t="shared" si="2"/>
        <v>Dentro de términos</v>
      </c>
    </row>
    <row r="34" spans="1:18" ht="45" x14ac:dyDescent="0.25">
      <c r="A34" s="15">
        <v>29</v>
      </c>
      <c r="B34" s="15">
        <v>29</v>
      </c>
      <c r="C34" s="15" t="s">
        <v>135</v>
      </c>
      <c r="D34" s="15">
        <v>116302016</v>
      </c>
      <c r="E34" s="15" t="str">
        <f t="shared" si="0"/>
        <v>Atendido</v>
      </c>
      <c r="F34" s="15" t="s">
        <v>137</v>
      </c>
      <c r="G34" s="16">
        <v>42395</v>
      </c>
      <c r="H34" s="16">
        <f>WORKDAY(G34,IF(C34="SOLICITUD DE COPIA",10,IF(C34="SOLICITUD DE INFORMACIÓN",10,IF(C34="CONSULTA",30,15))),'[1]DIAS LABORALES'!$A$1:$A$16)</f>
        <v>42416</v>
      </c>
      <c r="I34" s="16">
        <v>42418</v>
      </c>
      <c r="J34" s="16" t="s">
        <v>96</v>
      </c>
      <c r="K34" s="15" t="s">
        <v>138</v>
      </c>
      <c r="L34" s="15" t="s">
        <v>31</v>
      </c>
      <c r="M34" s="15" t="s">
        <v>83</v>
      </c>
      <c r="N34" s="15" t="s">
        <v>35</v>
      </c>
      <c r="O34" s="15" t="s">
        <v>292</v>
      </c>
      <c r="P34" s="15" t="str">
        <f t="shared" si="1"/>
        <v>MIS</v>
      </c>
      <c r="Q34" s="17">
        <f>NETWORKDAYS(G34,I34,('[1]DIAS LABORALES'!$A$1:$A$16))-1</f>
        <v>17</v>
      </c>
      <c r="R34" s="15" t="str">
        <f t="shared" si="2"/>
        <v>Fuera de términos</v>
      </c>
    </row>
    <row r="35" spans="1:18" ht="409.5" x14ac:dyDescent="0.25">
      <c r="A35" s="15">
        <v>30</v>
      </c>
      <c r="B35" s="15">
        <v>30</v>
      </c>
      <c r="C35" s="15" t="s">
        <v>135</v>
      </c>
      <c r="D35" s="15">
        <v>115682016</v>
      </c>
      <c r="E35" s="15" t="str">
        <f t="shared" si="0"/>
        <v>Atendido</v>
      </c>
      <c r="F35" s="15" t="s">
        <v>137</v>
      </c>
      <c r="G35" s="16">
        <v>42396</v>
      </c>
      <c r="H35" s="16">
        <f>WORKDAY(G35,IF(C35="SOLICITUD DE COPIA",10,IF(C35="SOLICITUD DE INFORMACIÓN",10,IF(C35="CONSULTA",30,15))),'[1]DIAS LABORALES'!$A$1:$A$16)</f>
        <v>42417</v>
      </c>
      <c r="I35" s="16">
        <v>42410</v>
      </c>
      <c r="J35" s="16" t="s">
        <v>56</v>
      </c>
      <c r="K35" s="15" t="s">
        <v>146</v>
      </c>
      <c r="L35" s="15" t="s">
        <v>79</v>
      </c>
      <c r="M35" s="15" t="s">
        <v>29</v>
      </c>
      <c r="N35" s="15" t="s">
        <v>35</v>
      </c>
      <c r="O35" s="15" t="s">
        <v>233</v>
      </c>
      <c r="P35" s="15" t="str">
        <f t="shared" si="1"/>
        <v>SUB</v>
      </c>
      <c r="Q35" s="17">
        <f>NETWORKDAYS(G35,I35,('[1]DIAS LABORALES'!$A$1:$A$16))-1</f>
        <v>10</v>
      </c>
      <c r="R35" s="15" t="str">
        <f t="shared" si="2"/>
        <v>Dentro de términos</v>
      </c>
    </row>
    <row r="36" spans="1:18" ht="75" x14ac:dyDescent="0.25">
      <c r="A36" s="15">
        <v>31</v>
      </c>
      <c r="B36" s="15">
        <v>31</v>
      </c>
      <c r="C36" s="15" t="s">
        <v>72</v>
      </c>
      <c r="D36" s="15">
        <v>47502016</v>
      </c>
      <c r="E36" s="15" t="str">
        <f t="shared" si="0"/>
        <v>Atendido</v>
      </c>
      <c r="F36" s="15" t="s">
        <v>165</v>
      </c>
      <c r="G36" s="16">
        <v>42396</v>
      </c>
      <c r="H36" s="16">
        <f>WORKDAY(G36,IF(C36="SOLICITUD DE COPIA",10,IF(C36="SOLICITUD DE INFORMACIÓN",10,IF(C36="CONSULTA",30,15))),'[1]DIAS LABORALES'!$A$1:$A$16)</f>
        <v>42417</v>
      </c>
      <c r="I36" s="16">
        <v>42411</v>
      </c>
      <c r="J36" s="16" t="s">
        <v>56</v>
      </c>
      <c r="K36" s="15" t="s">
        <v>167</v>
      </c>
      <c r="L36" s="15" t="s">
        <v>177</v>
      </c>
      <c r="M36" s="15" t="s">
        <v>150</v>
      </c>
      <c r="N36" s="15" t="s">
        <v>34</v>
      </c>
      <c r="O36" s="15" t="s">
        <v>293</v>
      </c>
      <c r="P36" s="15" t="str">
        <f t="shared" si="1"/>
        <v>BAÑ</v>
      </c>
      <c r="Q36" s="17">
        <f>NETWORKDAYS(G36,I36,('[1]DIAS LABORALES'!$A$1:$A$16))-1</f>
        <v>11</v>
      </c>
      <c r="R36" s="15" t="str">
        <f t="shared" si="2"/>
        <v>Dentro de términos</v>
      </c>
    </row>
    <row r="37" spans="1:18" ht="60" x14ac:dyDescent="0.25">
      <c r="A37" s="15">
        <v>32</v>
      </c>
      <c r="B37" s="15">
        <v>32</v>
      </c>
      <c r="C37" s="15" t="s">
        <v>107</v>
      </c>
      <c r="D37" s="15">
        <v>130792016</v>
      </c>
      <c r="E37" s="15" t="str">
        <f t="shared" si="0"/>
        <v>Atendido</v>
      </c>
      <c r="F37" s="15" t="s">
        <v>27</v>
      </c>
      <c r="G37" s="16">
        <v>42398</v>
      </c>
      <c r="H37" s="16">
        <f>WORKDAY(G37,IF(C37="SOLICITUD DE COPIA",10,IF(C37="SOLICITUD DE INFORMACIÓN",10,IF(C37="CONSULTA",30,15))),'[1]DIAS LABORALES'!$A$1:$A$16)</f>
        <v>42419</v>
      </c>
      <c r="I37" s="16">
        <v>42410</v>
      </c>
      <c r="J37" s="16" t="s">
        <v>168</v>
      </c>
      <c r="K37" s="15" t="s">
        <v>169</v>
      </c>
      <c r="L37" s="15" t="s">
        <v>31</v>
      </c>
      <c r="M37" s="15" t="s">
        <v>30</v>
      </c>
      <c r="N37" s="15" t="s">
        <v>34</v>
      </c>
      <c r="O37" s="15" t="s">
        <v>233</v>
      </c>
      <c r="P37" s="15" t="str">
        <f t="shared" si="1"/>
        <v>DIR</v>
      </c>
      <c r="Q37" s="17">
        <f>NETWORKDAYS(G37,I37,('[1]DIAS LABORALES'!$A$1:$A$16))-1</f>
        <v>8</v>
      </c>
      <c r="R37" s="15" t="str">
        <f t="shared" si="2"/>
        <v>Dentro de términos</v>
      </c>
    </row>
    <row r="38" spans="1:18" ht="45" x14ac:dyDescent="0.25">
      <c r="A38" s="15">
        <v>33</v>
      </c>
      <c r="B38" s="15">
        <v>33</v>
      </c>
      <c r="C38" s="15" t="s">
        <v>107</v>
      </c>
      <c r="D38" s="15">
        <v>144112016</v>
      </c>
      <c r="E38" s="15" t="str">
        <f t="shared" si="0"/>
        <v>Atendido</v>
      </c>
      <c r="F38" s="15" t="s">
        <v>166</v>
      </c>
      <c r="G38" s="16">
        <v>42398</v>
      </c>
      <c r="H38" s="16">
        <f>WORKDAY(G38,IF(C38="SOLICITUD DE COPIA",10,IF(C38="SOLICITUD DE INFORMACIÓN",10,IF(C38="CONSULTA",30,15))),'[1]DIAS LABORALES'!$A$1:$A$16)</f>
        <v>42419</v>
      </c>
      <c r="I38" s="16">
        <v>42410</v>
      </c>
      <c r="J38" s="16" t="s">
        <v>170</v>
      </c>
      <c r="K38" s="15" t="s">
        <v>171</v>
      </c>
      <c r="L38" s="15" t="s">
        <v>31</v>
      </c>
      <c r="M38" s="15" t="s">
        <v>30</v>
      </c>
      <c r="N38" s="15" t="s">
        <v>35</v>
      </c>
      <c r="O38" s="15" t="s">
        <v>281</v>
      </c>
      <c r="P38" s="15" t="str">
        <f t="shared" si="1"/>
        <v>DIR</v>
      </c>
      <c r="Q38" s="17">
        <f>NETWORKDAYS(G38,I38,('[1]DIAS LABORALES'!$A$1:$A$16))-1</f>
        <v>8</v>
      </c>
      <c r="R38" s="15" t="str">
        <f t="shared" si="2"/>
        <v>Dentro de términos</v>
      </c>
    </row>
    <row r="39" spans="1:18" ht="45" x14ac:dyDescent="0.25">
      <c r="A39" s="15">
        <v>34</v>
      </c>
      <c r="B39" s="15">
        <v>34</v>
      </c>
      <c r="C39" s="15" t="s">
        <v>72</v>
      </c>
      <c r="D39" s="15">
        <v>140432016</v>
      </c>
      <c r="E39" s="15" t="str">
        <f t="shared" si="0"/>
        <v>Atendido</v>
      </c>
      <c r="F39" s="15" t="s">
        <v>152</v>
      </c>
      <c r="G39" s="16">
        <v>42398</v>
      </c>
      <c r="H39" s="16">
        <f>WORKDAY(G39,IF(C39="SOLICITUD DE COPIA",10,IF(C39="SOLICITUD DE INFORMACIÓN",10,IF(C39="CONSULTA",30,15))),'[1]DIAS LABORALES'!$A$1:$A$16)</f>
        <v>42419</v>
      </c>
      <c r="I39" s="16">
        <v>42419</v>
      </c>
      <c r="J39" s="16" t="s">
        <v>149</v>
      </c>
      <c r="K39" s="15" t="s">
        <v>151</v>
      </c>
      <c r="L39" s="15" t="s">
        <v>177</v>
      </c>
      <c r="M39" s="15" t="s">
        <v>150</v>
      </c>
      <c r="N39" s="15" t="s">
        <v>34</v>
      </c>
      <c r="O39" s="15" t="s">
        <v>284</v>
      </c>
      <c r="P39" s="15" t="str">
        <f t="shared" si="1"/>
        <v>BAÑ</v>
      </c>
      <c r="Q39" s="17">
        <f>NETWORKDAYS(G39,I39,('[1]DIAS LABORALES'!$A$1:$A$16))-1</f>
        <v>15</v>
      </c>
      <c r="R39" s="15" t="str">
        <f t="shared" si="2"/>
        <v>Dentro de términos</v>
      </c>
    </row>
    <row r="40" spans="1:18" ht="210" x14ac:dyDescent="0.25">
      <c r="A40" s="15">
        <v>35</v>
      </c>
      <c r="B40" s="15">
        <v>1</v>
      </c>
      <c r="C40" s="15" t="s">
        <v>136</v>
      </c>
      <c r="D40" s="15">
        <v>13222016</v>
      </c>
      <c r="E40" s="15" t="str">
        <f t="shared" si="0"/>
        <v>Atendido</v>
      </c>
      <c r="F40" s="15" t="s">
        <v>27</v>
      </c>
      <c r="G40" s="16">
        <v>42401</v>
      </c>
      <c r="H40" s="16">
        <f>WORKDAY(G40,IF(C40="SOLICITUD DE COPIA",10,IF(C40="SOLICITUD DE INFORMACIÓN",10,IF(C40="CONSULTA",30,15))),'[1]DIAS LABORALES'!$A$1:$A$16)</f>
        <v>42422</v>
      </c>
      <c r="I40" s="16">
        <v>42410</v>
      </c>
      <c r="J40" s="16" t="s">
        <v>56</v>
      </c>
      <c r="K40" s="15" t="s">
        <v>172</v>
      </c>
      <c r="L40" s="15" t="s">
        <v>31</v>
      </c>
      <c r="M40" s="15" t="s">
        <v>29</v>
      </c>
      <c r="N40" s="15" t="s">
        <v>34</v>
      </c>
      <c r="O40" s="15" t="s">
        <v>233</v>
      </c>
      <c r="P40" s="15" t="str">
        <f t="shared" si="1"/>
        <v>SUB</v>
      </c>
      <c r="Q40" s="17">
        <f>NETWORKDAYS(G40,I40,('[1]DIAS LABORALES'!$A$1:$A$16))-1</f>
        <v>7</v>
      </c>
      <c r="R40" s="15" t="str">
        <f t="shared" si="2"/>
        <v>Dentro de términos</v>
      </c>
    </row>
    <row r="41" spans="1:18" ht="240" x14ac:dyDescent="0.25">
      <c r="A41" s="15">
        <v>36</v>
      </c>
      <c r="B41" s="15">
        <v>2</v>
      </c>
      <c r="C41" s="15" t="s">
        <v>135</v>
      </c>
      <c r="D41" s="15">
        <v>145612016</v>
      </c>
      <c r="E41" s="15" t="str">
        <f t="shared" si="0"/>
        <v>Atendido</v>
      </c>
      <c r="F41" s="15" t="s">
        <v>27</v>
      </c>
      <c r="G41" s="16">
        <v>42401</v>
      </c>
      <c r="H41" s="16">
        <f>WORKDAY(G41,IF(C41="SOLICITUD DE COPIA",10,IF(C41="SOLICITUD DE INFORMACIÓN",10,IF(C41="CONSULTA",30,15))),'[1]DIAS LABORALES'!$A$1:$A$16)</f>
        <v>42422</v>
      </c>
      <c r="I41" s="16">
        <v>42425</v>
      </c>
      <c r="J41" s="16" t="s">
        <v>173</v>
      </c>
      <c r="K41" s="15" t="s">
        <v>174</v>
      </c>
      <c r="L41" s="15" t="s">
        <v>31</v>
      </c>
      <c r="M41" s="15" t="s">
        <v>150</v>
      </c>
      <c r="N41" s="15" t="s">
        <v>34</v>
      </c>
      <c r="O41" s="15" t="s">
        <v>278</v>
      </c>
      <c r="P41" s="15" t="str">
        <f t="shared" si="1"/>
        <v>BAÑ</v>
      </c>
      <c r="Q41" s="17">
        <f>NETWORKDAYS(G41,I41,('[1]DIAS LABORALES'!$A$1:$A$16))-1</f>
        <v>18</v>
      </c>
      <c r="R41" s="15" t="str">
        <f t="shared" si="2"/>
        <v>Fuera de términos</v>
      </c>
    </row>
    <row r="42" spans="1:18" ht="45" x14ac:dyDescent="0.25">
      <c r="A42" s="15">
        <v>37</v>
      </c>
      <c r="B42" s="15">
        <v>3</v>
      </c>
      <c r="C42" s="15" t="s">
        <v>72</v>
      </c>
      <c r="D42" s="15">
        <v>161282016</v>
      </c>
      <c r="E42" s="15" t="str">
        <f t="shared" si="0"/>
        <v>Atendido</v>
      </c>
      <c r="F42" s="15" t="s">
        <v>175</v>
      </c>
      <c r="G42" s="16">
        <v>42402</v>
      </c>
      <c r="H42" s="16">
        <f>WORKDAY(G42,IF(C42="SOLICITUD DE COPIA",10,IF(C42="SOLICITUD DE INFORMACIÓN",10,IF(C42="CONSULTA",30,15))),'[1]DIAS LABORALES'!$A$1:$A$16)</f>
        <v>42423</v>
      </c>
      <c r="I42" s="16">
        <v>42419</v>
      </c>
      <c r="J42" s="16" t="s">
        <v>176</v>
      </c>
      <c r="K42" s="15" t="s">
        <v>178</v>
      </c>
      <c r="L42" s="15" t="s">
        <v>177</v>
      </c>
      <c r="M42" s="15" t="s">
        <v>93</v>
      </c>
      <c r="N42" s="15" t="s">
        <v>111</v>
      </c>
      <c r="O42" s="15" t="s">
        <v>290</v>
      </c>
      <c r="P42" s="15" t="str">
        <f t="shared" si="1"/>
        <v>DES</v>
      </c>
      <c r="Q42" s="17">
        <f>NETWORKDAYS(G42,I42,('[1]DIAS LABORALES'!$A$1:$A$16))-1</f>
        <v>13</v>
      </c>
      <c r="R42" s="15" t="str">
        <f t="shared" si="2"/>
        <v>Dentro de términos</v>
      </c>
    </row>
    <row r="43" spans="1:18" ht="45" x14ac:dyDescent="0.25">
      <c r="A43" s="15">
        <v>38</v>
      </c>
      <c r="B43" s="15">
        <v>4</v>
      </c>
      <c r="C43" s="15" t="s">
        <v>107</v>
      </c>
      <c r="D43" s="15">
        <v>167922016</v>
      </c>
      <c r="E43" s="15" t="str">
        <f t="shared" si="0"/>
        <v>Atendido</v>
      </c>
      <c r="F43" s="15" t="s">
        <v>184</v>
      </c>
      <c r="G43" s="16">
        <v>42402</v>
      </c>
      <c r="H43" s="16">
        <f>WORKDAY(G43,IF(C43="SOLICITUD DE COPIA",10,IF(C43="SOLICITUD DE INFORMACIÓN",10,IF(C43="CONSULTA",30,15))),'[1]DIAS LABORALES'!$A$1:$A$16)</f>
        <v>42423</v>
      </c>
      <c r="I43" s="16">
        <v>42425</v>
      </c>
      <c r="J43" s="16" t="s">
        <v>187</v>
      </c>
      <c r="K43" s="15" t="s">
        <v>188</v>
      </c>
      <c r="L43" s="15" t="s">
        <v>31</v>
      </c>
      <c r="M43" s="15" t="s">
        <v>150</v>
      </c>
      <c r="N43" s="15" t="s">
        <v>35</v>
      </c>
      <c r="O43" s="15" t="s">
        <v>279</v>
      </c>
      <c r="P43" s="15" t="str">
        <f t="shared" si="1"/>
        <v>BAÑ</v>
      </c>
      <c r="Q43" s="17">
        <f>NETWORKDAYS(G43,I43,('[1]DIAS LABORALES'!$A$1:$A$16))-1</f>
        <v>17</v>
      </c>
      <c r="R43" s="15" t="str">
        <f t="shared" si="2"/>
        <v>Fuera de términos</v>
      </c>
    </row>
    <row r="44" spans="1:18" ht="45" x14ac:dyDescent="0.25">
      <c r="A44" s="15">
        <v>39</v>
      </c>
      <c r="B44" s="15">
        <v>5</v>
      </c>
      <c r="C44" s="15" t="s">
        <v>72</v>
      </c>
      <c r="D44" s="15">
        <v>167872016</v>
      </c>
      <c r="E44" s="15" t="str">
        <f t="shared" si="0"/>
        <v>Atendido</v>
      </c>
      <c r="F44" s="15" t="s">
        <v>185</v>
      </c>
      <c r="G44" s="16">
        <v>42402</v>
      </c>
      <c r="H44" s="16">
        <f>WORKDAY(G44,IF(C44="SOLICITUD DE COPIA",10,IF(C44="SOLICITUD DE INFORMACIÓN",10,IF(C44="CONSULTA",30,15))),'[1]DIAS LABORALES'!$A$1:$A$16)</f>
        <v>42423</v>
      </c>
      <c r="I44" s="16">
        <v>42425</v>
      </c>
      <c r="J44" s="16" t="s">
        <v>189</v>
      </c>
      <c r="K44" s="15" t="s">
        <v>190</v>
      </c>
      <c r="L44" s="15" t="s">
        <v>177</v>
      </c>
      <c r="M44" s="15" t="s">
        <v>150</v>
      </c>
      <c r="N44" s="15" t="s">
        <v>35</v>
      </c>
      <c r="O44" s="15" t="s">
        <v>280</v>
      </c>
      <c r="P44" s="15" t="str">
        <f t="shared" si="1"/>
        <v>BAÑ</v>
      </c>
      <c r="Q44" s="17">
        <f>NETWORKDAYS(G44,I44,('[1]DIAS LABORALES'!$A$1:$A$16))-1</f>
        <v>17</v>
      </c>
      <c r="R44" s="15" t="str">
        <f t="shared" si="2"/>
        <v>Fuera de términos</v>
      </c>
    </row>
    <row r="45" spans="1:18" ht="45" x14ac:dyDescent="0.25">
      <c r="A45" s="15">
        <v>40</v>
      </c>
      <c r="B45" s="15">
        <v>6</v>
      </c>
      <c r="C45" s="15" t="s">
        <v>91</v>
      </c>
      <c r="D45" s="15">
        <v>173102016</v>
      </c>
      <c r="E45" s="15" t="str">
        <f t="shared" si="0"/>
        <v>Atendido</v>
      </c>
      <c r="F45" s="15" t="s">
        <v>186</v>
      </c>
      <c r="G45" s="16">
        <v>42402</v>
      </c>
      <c r="H45" s="16">
        <f>WORKDAY(G45,IF(C45="SOLICITUD DE COPIA",10,IF(C45="SOLICITUD DE INFORMACIÓN",10,IF(C45="CONSULTA",30,15))),'[1]DIAS LABORALES'!$A$1:$A$16)</f>
        <v>42416</v>
      </c>
      <c r="I45" s="16">
        <v>42412</v>
      </c>
      <c r="J45" s="16" t="s">
        <v>191</v>
      </c>
      <c r="K45" s="15" t="s">
        <v>192</v>
      </c>
      <c r="L45" s="15" t="s">
        <v>31</v>
      </c>
      <c r="M45" s="15" t="s">
        <v>78</v>
      </c>
      <c r="N45" s="15" t="s">
        <v>35</v>
      </c>
      <c r="O45" s="15" t="s">
        <v>294</v>
      </c>
      <c r="P45" s="15" t="str">
        <f t="shared" si="1"/>
        <v>SUB</v>
      </c>
      <c r="Q45" s="17">
        <f>NETWORKDAYS(G45,I45,('[1]DIAS LABORALES'!$A$1:$A$16))-1</f>
        <v>8</v>
      </c>
      <c r="R45" s="15" t="str">
        <f t="shared" si="2"/>
        <v>Dentro de términos</v>
      </c>
    </row>
    <row r="46" spans="1:18" ht="45" x14ac:dyDescent="0.25">
      <c r="A46" s="15">
        <v>41</v>
      </c>
      <c r="B46" s="15">
        <v>7</v>
      </c>
      <c r="C46" s="15" t="s">
        <v>136</v>
      </c>
      <c r="D46" s="15">
        <v>170942016</v>
      </c>
      <c r="E46" s="15" t="str">
        <f t="shared" si="0"/>
        <v>Atendido</v>
      </c>
      <c r="F46" s="15" t="s">
        <v>186</v>
      </c>
      <c r="G46" s="16">
        <v>42402</v>
      </c>
      <c r="H46" s="16">
        <f>WORKDAY(G46,IF(C46="SOLICITUD DE COPIA",10,IF(C46="SOLICITUD DE INFORMACIÓN",10,IF(C46="CONSULTA",30,15))),'[1]DIAS LABORALES'!$A$1:$A$16)</f>
        <v>42423</v>
      </c>
      <c r="I46" s="16">
        <v>42410</v>
      </c>
      <c r="J46" s="16" t="s">
        <v>195</v>
      </c>
      <c r="K46" s="15" t="s">
        <v>196</v>
      </c>
      <c r="L46" s="15" t="s">
        <v>31</v>
      </c>
      <c r="M46" s="15" t="s">
        <v>29</v>
      </c>
      <c r="N46" s="15" t="s">
        <v>35</v>
      </c>
      <c r="O46" s="15" t="s">
        <v>295</v>
      </c>
      <c r="P46" s="15" t="str">
        <f t="shared" si="1"/>
        <v>SUB</v>
      </c>
      <c r="Q46" s="17">
        <f>NETWORKDAYS(G46,I46,('[1]DIAS LABORALES'!$A$1:$A$16))-1</f>
        <v>6</v>
      </c>
      <c r="R46" s="15" t="str">
        <f t="shared" si="2"/>
        <v>Dentro de términos</v>
      </c>
    </row>
    <row r="47" spans="1:18" ht="120" x14ac:dyDescent="0.25">
      <c r="A47" s="15">
        <v>42</v>
      </c>
      <c r="B47" s="15">
        <v>8</v>
      </c>
      <c r="C47" s="15" t="s">
        <v>135</v>
      </c>
      <c r="D47" s="15">
        <v>169872016</v>
      </c>
      <c r="E47" s="15" t="str">
        <f t="shared" si="0"/>
        <v>Atendido</v>
      </c>
      <c r="F47" s="15" t="s">
        <v>27</v>
      </c>
      <c r="G47" s="16">
        <v>42402</v>
      </c>
      <c r="H47" s="16">
        <f>WORKDAY(G47,IF(C47="SOLICITUD DE COPIA",10,IF(C47="SOLICITUD DE INFORMACIÓN",10,IF(C47="CONSULTA",30,15))),'[1]DIAS LABORALES'!$A$1:$A$16)</f>
        <v>42423</v>
      </c>
      <c r="I47" s="16">
        <v>42424</v>
      </c>
      <c r="J47" s="16" t="s">
        <v>392</v>
      </c>
      <c r="K47" s="15" t="s">
        <v>197</v>
      </c>
      <c r="L47" s="15" t="s">
        <v>31</v>
      </c>
      <c r="M47" s="15" t="s">
        <v>30</v>
      </c>
      <c r="N47" s="15" t="s">
        <v>34</v>
      </c>
      <c r="O47" s="15" t="s">
        <v>291</v>
      </c>
      <c r="P47" s="15" t="str">
        <f t="shared" si="1"/>
        <v>DIR</v>
      </c>
      <c r="Q47" s="17">
        <f>NETWORKDAYS(G47,I47,('[1]DIAS LABORALES'!$A$1:$A$16))-1</f>
        <v>16</v>
      </c>
      <c r="R47" s="15" t="str">
        <f t="shared" si="2"/>
        <v>Fuera de términos</v>
      </c>
    </row>
    <row r="48" spans="1:18" ht="45" x14ac:dyDescent="0.25">
      <c r="A48" s="15">
        <v>43</v>
      </c>
      <c r="B48" s="15">
        <v>9</v>
      </c>
      <c r="C48" s="15" t="s">
        <v>136</v>
      </c>
      <c r="D48" s="15">
        <v>163862016</v>
      </c>
      <c r="E48" s="15" t="str">
        <f>+IF(I48=0,"En Tramite","Atendido")</f>
        <v>Atendido</v>
      </c>
      <c r="F48" s="15" t="s">
        <v>27</v>
      </c>
      <c r="G48" s="16">
        <v>42403</v>
      </c>
      <c r="H48" s="16">
        <f>WORKDAY(G48,IF(C48="SOLICITUD DE COPIA",10,IF(C48="SOLICITUD DE INFORMACIÓN",10,IF(C48="CONSULTA",30,15))),'[1]DIAS LABORALES'!$A$1:$A$16)</f>
        <v>42424</v>
      </c>
      <c r="I48" s="16">
        <v>42410</v>
      </c>
      <c r="J48" s="16" t="s">
        <v>193</v>
      </c>
      <c r="K48" s="15" t="s">
        <v>194</v>
      </c>
      <c r="L48" s="15" t="s">
        <v>31</v>
      </c>
      <c r="M48" s="15" t="s">
        <v>29</v>
      </c>
      <c r="N48" s="15" t="s">
        <v>34</v>
      </c>
      <c r="O48" s="15" t="s">
        <v>296</v>
      </c>
      <c r="P48" s="15" t="str">
        <f>LEFT(M48,3)</f>
        <v>SUB</v>
      </c>
      <c r="Q48" s="17">
        <f>NETWORKDAYS(G48,I48,('[1]DIAS LABORALES'!$A$1:$A$16))-1</f>
        <v>5</v>
      </c>
      <c r="R48" s="15" t="str">
        <f t="shared" si="2"/>
        <v>Dentro de términos</v>
      </c>
    </row>
    <row r="49" spans="1:18" ht="105" x14ac:dyDescent="0.25">
      <c r="A49" s="15">
        <v>44</v>
      </c>
      <c r="B49" s="15">
        <v>10</v>
      </c>
      <c r="C49" s="15" t="s">
        <v>72</v>
      </c>
      <c r="D49" s="15">
        <v>172892016</v>
      </c>
      <c r="E49" s="15" t="str">
        <f t="shared" si="0"/>
        <v>Atendido</v>
      </c>
      <c r="F49" s="15" t="s">
        <v>27</v>
      </c>
      <c r="G49" s="16">
        <v>42403</v>
      </c>
      <c r="H49" s="16">
        <f>WORKDAY(G49,IF(C49="SOLICITUD DE COPIA",10,IF(C49="SOLICITUD DE INFORMACIÓN",10,IF(C49="CONSULTA",30,15))),'[1]DIAS LABORALES'!$A$1:$A$16)</f>
        <v>42424</v>
      </c>
      <c r="I49" s="16">
        <v>42418</v>
      </c>
      <c r="J49" s="16" t="s">
        <v>198</v>
      </c>
      <c r="K49" s="15" t="s">
        <v>199</v>
      </c>
      <c r="L49" s="15" t="s">
        <v>177</v>
      </c>
      <c r="M49" s="15" t="s">
        <v>83</v>
      </c>
      <c r="N49" s="15" t="s">
        <v>200</v>
      </c>
      <c r="O49" s="15" t="s">
        <v>289</v>
      </c>
      <c r="P49" s="15" t="str">
        <f t="shared" si="1"/>
        <v>MIS</v>
      </c>
      <c r="Q49" s="17">
        <f>NETWORKDAYS(G49,I49,('[1]DIAS LABORALES'!$A$1:$A$16))-1</f>
        <v>11</v>
      </c>
      <c r="R49" s="15" t="str">
        <f t="shared" si="2"/>
        <v>Dentro de términos</v>
      </c>
    </row>
    <row r="50" spans="1:18" ht="45" x14ac:dyDescent="0.25">
      <c r="A50" s="15">
        <v>45</v>
      </c>
      <c r="B50" s="15">
        <v>11</v>
      </c>
      <c r="C50" s="15" t="s">
        <v>135</v>
      </c>
      <c r="D50" s="15">
        <v>187412016</v>
      </c>
      <c r="E50" s="15" t="str">
        <f t="shared" si="0"/>
        <v>Atendido</v>
      </c>
      <c r="F50" s="15" t="s">
        <v>201</v>
      </c>
      <c r="G50" s="16">
        <v>42404</v>
      </c>
      <c r="H50" s="16">
        <f>WORKDAY(G50,IF(C50="SOLICITUD DE COPIA",10,IF(C50="SOLICITUD DE INFORMACIÓN",10,IF(C50="CONSULTA",30,15))),'[1]DIAS LABORALES'!$A$1:$A$16)</f>
        <v>42425</v>
      </c>
      <c r="I50" s="16">
        <v>42422</v>
      </c>
      <c r="J50" s="16" t="s">
        <v>202</v>
      </c>
      <c r="K50" s="15" t="s">
        <v>203</v>
      </c>
      <c r="L50" s="15" t="s">
        <v>31</v>
      </c>
      <c r="M50" s="15" t="s">
        <v>29</v>
      </c>
      <c r="N50" s="15" t="s">
        <v>35</v>
      </c>
      <c r="O50" s="15" t="s">
        <v>297</v>
      </c>
      <c r="P50" s="15" t="str">
        <f t="shared" si="1"/>
        <v>SUB</v>
      </c>
      <c r="Q50" s="17">
        <f>NETWORKDAYS(G50,I50,('[1]DIAS LABORALES'!$A$1:$A$16))-1</f>
        <v>12</v>
      </c>
      <c r="R50" s="15" t="str">
        <f t="shared" si="2"/>
        <v>Dentro de términos</v>
      </c>
    </row>
    <row r="51" spans="1:18" ht="45" x14ac:dyDescent="0.25">
      <c r="A51" s="15">
        <v>46</v>
      </c>
      <c r="B51" s="15">
        <v>12</v>
      </c>
      <c r="C51" s="15" t="s">
        <v>81</v>
      </c>
      <c r="D51" s="15">
        <v>187482016</v>
      </c>
      <c r="E51" s="15" t="str">
        <f t="shared" si="0"/>
        <v>Atendido</v>
      </c>
      <c r="F51" s="15" t="s">
        <v>206</v>
      </c>
      <c r="G51" s="16">
        <v>42404</v>
      </c>
      <c r="H51" s="16">
        <f>WORKDAY(G51,IF(C51="SOLICITUD DE COPIA",10,IF(C51="SOLICITUD DE INFORMACIÓN",10,IF(C51="CONSULTA",30,15))),'[1]DIAS LABORALES'!$A$1:$A$16)</f>
        <v>42418</v>
      </c>
      <c r="I51" s="16">
        <v>42408</v>
      </c>
      <c r="J51" s="16" t="s">
        <v>204</v>
      </c>
      <c r="K51" s="15" t="s">
        <v>205</v>
      </c>
      <c r="L51" s="15" t="s">
        <v>300</v>
      </c>
      <c r="M51" s="15" t="s">
        <v>32</v>
      </c>
      <c r="N51" s="15" t="s">
        <v>111</v>
      </c>
      <c r="O51" s="15" t="s">
        <v>283</v>
      </c>
      <c r="P51" s="15" t="str">
        <f t="shared" si="1"/>
        <v>COM</v>
      </c>
      <c r="Q51" s="17">
        <f>NETWORKDAYS(G51,I51,('[1]DIAS LABORALES'!$A$1:$A$16))-1</f>
        <v>2</v>
      </c>
      <c r="R51" s="15" t="str">
        <f t="shared" si="2"/>
        <v>Dentro de términos</v>
      </c>
    </row>
    <row r="52" spans="1:18" ht="45" x14ac:dyDescent="0.25">
      <c r="A52" s="15">
        <v>47</v>
      </c>
      <c r="B52" s="15">
        <v>13</v>
      </c>
      <c r="C52" s="15" t="s">
        <v>108</v>
      </c>
      <c r="D52" s="15">
        <v>195352016</v>
      </c>
      <c r="E52" s="15" t="str">
        <f t="shared" si="0"/>
        <v>Atendido</v>
      </c>
      <c r="F52" s="15" t="s">
        <v>207</v>
      </c>
      <c r="G52" s="16">
        <v>42405</v>
      </c>
      <c r="H52" s="16">
        <f>WORKDAY(G52,IF(C52="SOLICITUD DE COPIA",10,IF(C52="SOLICITUD DE INFORMACIÓN",10,IF(C52="CONSULTA",30,15))),'[1]DIAS LABORALES'!$A$1:$A$16)</f>
        <v>42426</v>
      </c>
      <c r="I52" s="16">
        <v>42423</v>
      </c>
      <c r="J52" s="16" t="s">
        <v>210</v>
      </c>
      <c r="K52" s="15" t="s">
        <v>215</v>
      </c>
      <c r="L52" s="15" t="s">
        <v>33</v>
      </c>
      <c r="M52" s="15" t="s">
        <v>29</v>
      </c>
      <c r="N52" s="15" t="s">
        <v>111</v>
      </c>
      <c r="O52" s="15" t="s">
        <v>285</v>
      </c>
      <c r="P52" s="15" t="str">
        <f t="shared" si="1"/>
        <v>SUB</v>
      </c>
      <c r="Q52" s="17">
        <f>NETWORKDAYS(G52,I52,('[1]DIAS LABORALES'!$A$1:$A$16))-1</f>
        <v>12</v>
      </c>
      <c r="R52" s="15" t="str">
        <f t="shared" si="2"/>
        <v>Dentro de términos</v>
      </c>
    </row>
    <row r="53" spans="1:18" ht="45" x14ac:dyDescent="0.25">
      <c r="A53" s="15">
        <v>48</v>
      </c>
      <c r="B53" s="15">
        <v>14</v>
      </c>
      <c r="C53" s="15" t="s">
        <v>108</v>
      </c>
      <c r="D53" s="15">
        <v>195432016</v>
      </c>
      <c r="E53" s="15" t="str">
        <f t="shared" si="0"/>
        <v>Atendido</v>
      </c>
      <c r="F53" s="15" t="s">
        <v>208</v>
      </c>
      <c r="G53" s="16">
        <v>42405</v>
      </c>
      <c r="H53" s="16">
        <f>WORKDAY(G53,IF(C53="SOLICITUD DE COPIA",10,IF(C53="SOLICITUD DE INFORMACIÓN",10,IF(C53="CONSULTA",30,15))),'[1]DIAS LABORALES'!$A$1:$A$16)</f>
        <v>42426</v>
      </c>
      <c r="I53" s="16">
        <v>42423</v>
      </c>
      <c r="J53" s="16" t="s">
        <v>211</v>
      </c>
      <c r="K53" s="15" t="s">
        <v>214</v>
      </c>
      <c r="L53" s="15" t="s">
        <v>33</v>
      </c>
      <c r="M53" s="15" t="s">
        <v>29</v>
      </c>
      <c r="N53" s="15" t="s">
        <v>111</v>
      </c>
      <c r="O53" s="15" t="s">
        <v>287</v>
      </c>
      <c r="P53" s="15" t="str">
        <f t="shared" si="1"/>
        <v>SUB</v>
      </c>
      <c r="Q53" s="17">
        <f>NETWORKDAYS(G53,I53,('[1]DIAS LABORALES'!$A$1:$A$16))-1</f>
        <v>12</v>
      </c>
      <c r="R53" s="15" t="str">
        <f t="shared" si="2"/>
        <v>Dentro de términos</v>
      </c>
    </row>
    <row r="54" spans="1:18" ht="45" x14ac:dyDescent="0.25">
      <c r="A54" s="15">
        <v>49</v>
      </c>
      <c r="B54" s="15">
        <v>15</v>
      </c>
      <c r="C54" s="15" t="s">
        <v>108</v>
      </c>
      <c r="D54" s="15">
        <v>195482016</v>
      </c>
      <c r="E54" s="15" t="str">
        <f t="shared" si="0"/>
        <v>Atendido</v>
      </c>
      <c r="F54" s="15" t="s">
        <v>209</v>
      </c>
      <c r="G54" s="16">
        <v>42405</v>
      </c>
      <c r="H54" s="16">
        <f>WORKDAY(G54,IF(C54="SOLICITUD DE COPIA",10,IF(C54="SOLICITUD DE INFORMACIÓN",10,IF(C54="CONSULTA",30,15))),'[1]DIAS LABORALES'!$A$1:$A$16)</f>
        <v>42426</v>
      </c>
      <c r="I54" s="16">
        <v>42423</v>
      </c>
      <c r="J54" s="16" t="s">
        <v>212</v>
      </c>
      <c r="K54" s="15" t="s">
        <v>213</v>
      </c>
      <c r="L54" s="15" t="s">
        <v>33</v>
      </c>
      <c r="M54" s="15" t="s">
        <v>29</v>
      </c>
      <c r="N54" s="15" t="s">
        <v>111</v>
      </c>
      <c r="O54" s="15" t="s">
        <v>286</v>
      </c>
      <c r="P54" s="15" t="str">
        <f t="shared" si="1"/>
        <v>SUB</v>
      </c>
      <c r="Q54" s="17">
        <f>NETWORKDAYS(G54,I54,('[1]DIAS LABORALES'!$A$1:$A$16))-1</f>
        <v>12</v>
      </c>
      <c r="R54" s="15" t="str">
        <f t="shared" si="2"/>
        <v>Dentro de términos</v>
      </c>
    </row>
    <row r="55" spans="1:18" ht="45" x14ac:dyDescent="0.25">
      <c r="A55" s="15">
        <v>50</v>
      </c>
      <c r="B55" s="15">
        <v>16</v>
      </c>
      <c r="C55" s="15" t="s">
        <v>72</v>
      </c>
      <c r="D55" s="15">
        <v>211442016</v>
      </c>
      <c r="E55" s="15" t="str">
        <f t="shared" si="0"/>
        <v>Atendido</v>
      </c>
      <c r="F55" s="15" t="s">
        <v>217</v>
      </c>
      <c r="G55" s="16">
        <v>42409</v>
      </c>
      <c r="H55" s="16">
        <f>WORKDAY(G55,IF(C55="SOLICITUD DE COPIA",10,IF(C55="SOLICITUD DE INFORMACIÓN",10,IF(C55="CONSULTA",30,15))),'[1]DIAS LABORALES'!$A$1:$A$16)</f>
        <v>42430</v>
      </c>
      <c r="I55" s="16">
        <v>42426</v>
      </c>
      <c r="J55" s="16" t="s">
        <v>222</v>
      </c>
      <c r="K55" s="15" t="s">
        <v>229</v>
      </c>
      <c r="L55" s="15" t="s">
        <v>177</v>
      </c>
      <c r="M55" s="15" t="s">
        <v>29</v>
      </c>
      <c r="N55" s="15" t="s">
        <v>111</v>
      </c>
      <c r="O55" s="15" t="s">
        <v>298</v>
      </c>
      <c r="P55" s="15" t="str">
        <f t="shared" si="1"/>
        <v>SUB</v>
      </c>
      <c r="Q55" s="17">
        <f>NETWORKDAYS(G55,I55,('[1]DIAS LABORALES'!$A$1:$A$16))-1</f>
        <v>13</v>
      </c>
      <c r="R55" s="15" t="str">
        <f t="shared" si="2"/>
        <v>Dentro de términos</v>
      </c>
    </row>
    <row r="56" spans="1:18" ht="45" x14ac:dyDescent="0.25">
      <c r="A56" s="15">
        <v>51</v>
      </c>
      <c r="B56" s="15">
        <v>17</v>
      </c>
      <c r="C56" s="15" t="s">
        <v>107</v>
      </c>
      <c r="D56" s="15">
        <v>211542016</v>
      </c>
      <c r="E56" s="15" t="str">
        <f t="shared" si="0"/>
        <v>Atendido</v>
      </c>
      <c r="F56" s="15" t="s">
        <v>218</v>
      </c>
      <c r="G56" s="16">
        <v>42409</v>
      </c>
      <c r="H56" s="16">
        <f>WORKDAY(G56,IF(C56="SOLICITUD DE COPIA",10,IF(C56="SOLICITUD DE INFORMACIÓN",10,IF(C56="CONSULTA",30,15))),'[1]DIAS LABORALES'!$A$1:$A$16)</f>
        <v>42430</v>
      </c>
      <c r="I56" s="16">
        <v>42430</v>
      </c>
      <c r="J56" s="16" t="s">
        <v>223</v>
      </c>
      <c r="K56" s="15" t="s">
        <v>227</v>
      </c>
      <c r="L56" s="15" t="s">
        <v>31</v>
      </c>
      <c r="M56" s="15" t="s">
        <v>150</v>
      </c>
      <c r="N56" s="15" t="s">
        <v>35</v>
      </c>
      <c r="O56" s="15" t="s">
        <v>301</v>
      </c>
      <c r="P56" s="15" t="str">
        <f t="shared" si="1"/>
        <v>BAÑ</v>
      </c>
      <c r="Q56" s="17">
        <f>NETWORKDAYS(G56,I56,('[1]DIAS LABORALES'!$A$1:$A$16))-1</f>
        <v>15</v>
      </c>
      <c r="R56" s="15" t="str">
        <f t="shared" si="2"/>
        <v>Dentro de términos</v>
      </c>
    </row>
    <row r="57" spans="1:18" ht="45" x14ac:dyDescent="0.25">
      <c r="A57" s="15">
        <v>52</v>
      </c>
      <c r="B57" s="15">
        <v>18</v>
      </c>
      <c r="C57" s="15" t="s">
        <v>107</v>
      </c>
      <c r="D57" s="15">
        <v>211612016</v>
      </c>
      <c r="E57" s="15" t="str">
        <f t="shared" si="0"/>
        <v>Atendido</v>
      </c>
      <c r="F57" s="15" t="s">
        <v>219</v>
      </c>
      <c r="G57" s="16">
        <v>42409</v>
      </c>
      <c r="H57" s="16">
        <f>WORKDAY(G57,IF(C57="SOLICITUD DE COPIA",10,IF(C57="SOLICITUD DE INFORMACIÓN",10,IF(C57="CONSULTA",30,15))),'[1]DIAS LABORALES'!$A$1:$A$16)</f>
        <v>42430</v>
      </c>
      <c r="I57" s="16">
        <v>42430</v>
      </c>
      <c r="J57" s="16" t="s">
        <v>224</v>
      </c>
      <c r="K57" s="15" t="s">
        <v>227</v>
      </c>
      <c r="L57" s="15" t="s">
        <v>31</v>
      </c>
      <c r="M57" s="15" t="s">
        <v>150</v>
      </c>
      <c r="N57" s="15" t="s">
        <v>35</v>
      </c>
      <c r="O57" s="15" t="s">
        <v>302</v>
      </c>
      <c r="P57" s="15" t="str">
        <f t="shared" si="1"/>
        <v>BAÑ</v>
      </c>
      <c r="Q57" s="17">
        <f>NETWORKDAYS(G57,I57,('[1]DIAS LABORALES'!$A$1:$A$16))-1</f>
        <v>15</v>
      </c>
      <c r="R57" s="15" t="str">
        <f t="shared" si="2"/>
        <v>Dentro de términos</v>
      </c>
    </row>
    <row r="58" spans="1:18" ht="45" x14ac:dyDescent="0.25">
      <c r="A58" s="15">
        <v>53</v>
      </c>
      <c r="B58" s="15">
        <v>19</v>
      </c>
      <c r="C58" s="15" t="s">
        <v>107</v>
      </c>
      <c r="D58" s="15">
        <v>211722016</v>
      </c>
      <c r="E58" s="15" t="str">
        <f t="shared" si="0"/>
        <v>Atendido</v>
      </c>
      <c r="F58" s="15" t="s">
        <v>220</v>
      </c>
      <c r="G58" s="16">
        <v>42409</v>
      </c>
      <c r="H58" s="16">
        <f>WORKDAY(G58,IF(C58="SOLICITUD DE COPIA",10,IF(C58="SOLICITUD DE INFORMACIÓN",10,IF(C58="CONSULTA",30,15))),'[1]DIAS LABORALES'!$A$1:$A$16)</f>
        <v>42430</v>
      </c>
      <c r="I58" s="16">
        <v>42430</v>
      </c>
      <c r="J58" s="16" t="s">
        <v>225</v>
      </c>
      <c r="K58" s="15" t="s">
        <v>227</v>
      </c>
      <c r="L58" s="15" t="s">
        <v>31</v>
      </c>
      <c r="M58" s="15" t="s">
        <v>150</v>
      </c>
      <c r="N58" s="15" t="s">
        <v>35</v>
      </c>
      <c r="O58" s="15" t="s">
        <v>303</v>
      </c>
      <c r="P58" s="15" t="str">
        <f t="shared" si="1"/>
        <v>BAÑ</v>
      </c>
      <c r="Q58" s="17">
        <f>NETWORKDAYS(G58,I58,('[1]DIAS LABORALES'!$A$1:$A$16))-1</f>
        <v>15</v>
      </c>
      <c r="R58" s="15" t="str">
        <f t="shared" si="2"/>
        <v>Dentro de términos</v>
      </c>
    </row>
    <row r="59" spans="1:18" ht="45" x14ac:dyDescent="0.25">
      <c r="A59" s="15">
        <v>54</v>
      </c>
      <c r="B59" s="15">
        <v>20</v>
      </c>
      <c r="C59" s="15" t="s">
        <v>135</v>
      </c>
      <c r="D59" s="15">
        <v>211972016</v>
      </c>
      <c r="E59" s="15" t="str">
        <f t="shared" si="0"/>
        <v>Atendido</v>
      </c>
      <c r="F59" s="15" t="s">
        <v>221</v>
      </c>
      <c r="G59" s="16">
        <v>42409</v>
      </c>
      <c r="H59" s="16">
        <f>WORKDAY(G59,IF(C59="SOLICITUD DE COPIA",10,IF(C59="SOLICITUD DE INFORMACIÓN",10,IF(C59="CONSULTA",30,15))),'[1]DIAS LABORALES'!$A$1:$A$16)</f>
        <v>42430</v>
      </c>
      <c r="I59" s="16">
        <v>42423</v>
      </c>
      <c r="J59" s="16" t="s">
        <v>226</v>
      </c>
      <c r="K59" s="15" t="s">
        <v>228</v>
      </c>
      <c r="L59" s="15" t="s">
        <v>31</v>
      </c>
      <c r="M59" s="15" t="s">
        <v>29</v>
      </c>
      <c r="N59" s="15" t="s">
        <v>35</v>
      </c>
      <c r="O59" s="15" t="s">
        <v>288</v>
      </c>
      <c r="P59" s="15" t="str">
        <f t="shared" si="1"/>
        <v>SUB</v>
      </c>
      <c r="Q59" s="17">
        <f>NETWORKDAYS(G59,I59,('[1]DIAS LABORALES'!$A$1:$A$16))-1</f>
        <v>10</v>
      </c>
      <c r="R59" s="15" t="str">
        <f t="shared" si="2"/>
        <v>Dentro de términos</v>
      </c>
    </row>
    <row r="60" spans="1:18" ht="45" x14ac:dyDescent="0.25">
      <c r="A60" s="15">
        <v>55</v>
      </c>
      <c r="B60" s="15">
        <v>21</v>
      </c>
      <c r="C60" s="15" t="s">
        <v>135</v>
      </c>
      <c r="D60" s="15">
        <v>215182016</v>
      </c>
      <c r="E60" s="15" t="str">
        <f t="shared" si="0"/>
        <v>Atendido</v>
      </c>
      <c r="F60" s="15" t="s">
        <v>230</v>
      </c>
      <c r="G60" s="16">
        <v>42409</v>
      </c>
      <c r="H60" s="16">
        <f>WORKDAY(G60,IF(C60="SOLICITUD DE COPIA",10,IF(C60="SOLICITUD DE INFORMACIÓN",10,IF(C60="CONSULTA",30,15))),'[1]DIAS LABORALES'!$A$1:$A$16)</f>
        <v>42430</v>
      </c>
      <c r="I60" s="16">
        <v>42423</v>
      </c>
      <c r="J60" s="16" t="s">
        <v>231</v>
      </c>
      <c r="K60" s="15" t="s">
        <v>232</v>
      </c>
      <c r="L60" s="15" t="s">
        <v>31</v>
      </c>
      <c r="M60" s="15" t="s">
        <v>93</v>
      </c>
      <c r="N60" s="15" t="s">
        <v>35</v>
      </c>
      <c r="O60" s="15" t="s">
        <v>299</v>
      </c>
      <c r="P60" s="15" t="str">
        <f t="shared" si="1"/>
        <v>DES</v>
      </c>
      <c r="Q60" s="17">
        <f>NETWORKDAYS(G60,I60,('[1]DIAS LABORALES'!$A$1:$A$16))-1</f>
        <v>10</v>
      </c>
      <c r="R60" s="15" t="str">
        <f t="shared" si="2"/>
        <v>Dentro de términos</v>
      </c>
    </row>
    <row r="61" spans="1:18" ht="150" x14ac:dyDescent="0.25">
      <c r="A61" s="15">
        <v>56</v>
      </c>
      <c r="B61" s="15">
        <v>22</v>
      </c>
      <c r="C61" s="15" t="s">
        <v>135</v>
      </c>
      <c r="D61" s="15">
        <v>220712016</v>
      </c>
      <c r="E61" s="15" t="str">
        <f t="shared" si="0"/>
        <v>Atendido</v>
      </c>
      <c r="F61" s="15" t="s">
        <v>27</v>
      </c>
      <c r="G61" s="16">
        <v>42410</v>
      </c>
      <c r="H61" s="16">
        <f>WORKDAY(G61,IF(C61="SOLICITUD DE COPIA",10,IF(C61="SOLICITUD DE INFORMACIÓN",10,IF(C61="CONSULTA",30,15))),'[1]DIAS LABORALES'!$A$1:$A$16)</f>
        <v>42431</v>
      </c>
      <c r="I61" s="16">
        <v>42423</v>
      </c>
      <c r="J61" s="16" t="s">
        <v>392</v>
      </c>
      <c r="K61" s="15" t="s">
        <v>244</v>
      </c>
      <c r="L61" s="15" t="s">
        <v>33</v>
      </c>
      <c r="M61" s="15" t="s">
        <v>29</v>
      </c>
      <c r="N61" s="15" t="s">
        <v>34</v>
      </c>
      <c r="O61" s="15" t="s">
        <v>245</v>
      </c>
      <c r="P61" s="15" t="str">
        <f t="shared" si="1"/>
        <v>SUB</v>
      </c>
      <c r="Q61" s="17">
        <f>NETWORKDAYS(G61,I61,('[1]DIAS LABORALES'!$A$1:$A$16))-1</f>
        <v>9</v>
      </c>
      <c r="R61" s="15" t="str">
        <f t="shared" si="2"/>
        <v>Dentro de términos</v>
      </c>
    </row>
    <row r="62" spans="1:18" ht="45" x14ac:dyDescent="0.25">
      <c r="A62" s="15">
        <v>57</v>
      </c>
      <c r="B62" s="15">
        <v>23</v>
      </c>
      <c r="C62" s="15" t="s">
        <v>136</v>
      </c>
      <c r="D62" s="15">
        <v>244512016</v>
      </c>
      <c r="E62" s="15" t="str">
        <f t="shared" si="0"/>
        <v>Atendido</v>
      </c>
      <c r="F62" s="15" t="s">
        <v>235</v>
      </c>
      <c r="G62" s="16">
        <v>42412</v>
      </c>
      <c r="H62" s="16">
        <f>WORKDAY(G62,IF(C62="SOLICITUD DE COPIA",10,IF(C62="SOLICITUD DE INFORMACIÓN",10,IF(C62="CONSULTA",30,15))),'[1]DIAS LABORALES'!$A$1:$A$16)</f>
        <v>42433</v>
      </c>
      <c r="I62" s="16">
        <v>42431</v>
      </c>
      <c r="J62" s="16" t="s">
        <v>246</v>
      </c>
      <c r="K62" s="15" t="s">
        <v>247</v>
      </c>
      <c r="L62" s="15" t="s">
        <v>31</v>
      </c>
      <c r="M62" s="15" t="s">
        <v>150</v>
      </c>
      <c r="N62" s="15" t="s">
        <v>34</v>
      </c>
      <c r="O62" s="15" t="s">
        <v>304</v>
      </c>
      <c r="P62" s="15" t="str">
        <f t="shared" si="1"/>
        <v>BAÑ</v>
      </c>
      <c r="Q62" s="17">
        <f>NETWORKDAYS(G62,I62,('[1]DIAS LABORALES'!$A$1:$A$16))-1</f>
        <v>13</v>
      </c>
      <c r="R62" s="15" t="str">
        <f t="shared" si="2"/>
        <v>Dentro de términos</v>
      </c>
    </row>
    <row r="63" spans="1:18" ht="45" x14ac:dyDescent="0.25">
      <c r="A63" s="15">
        <v>58</v>
      </c>
      <c r="B63" s="15">
        <v>24</v>
      </c>
      <c r="C63" s="15" t="s">
        <v>135</v>
      </c>
      <c r="D63" s="15">
        <v>266622016</v>
      </c>
      <c r="E63" s="15" t="str">
        <f t="shared" si="0"/>
        <v>Atendido</v>
      </c>
      <c r="F63" s="15" t="s">
        <v>237</v>
      </c>
      <c r="G63" s="16">
        <v>42416</v>
      </c>
      <c r="H63" s="16">
        <f>WORKDAY(G63,IF(C63="SOLICITUD DE COPIA",10,IF(C63="SOLICITUD DE INFORMACIÓN",10,IF(C63="CONSULTA",30,15))),'[1]DIAS LABORALES'!$A$1:$A$16)</f>
        <v>42437</v>
      </c>
      <c r="I63" s="16">
        <v>42426</v>
      </c>
      <c r="J63" s="16" t="s">
        <v>248</v>
      </c>
      <c r="K63" s="15" t="s">
        <v>249</v>
      </c>
      <c r="L63" s="15" t="s">
        <v>31</v>
      </c>
      <c r="M63" s="15" t="s">
        <v>77</v>
      </c>
      <c r="N63" s="15" t="s">
        <v>35</v>
      </c>
      <c r="O63" s="15" t="s">
        <v>312</v>
      </c>
      <c r="P63" s="15" t="str">
        <f t="shared" si="1"/>
        <v>JUR</v>
      </c>
      <c r="Q63" s="17">
        <f>NETWORKDAYS(G63,I63,('[1]DIAS LABORALES'!$A$1:$A$16))-1</f>
        <v>8</v>
      </c>
      <c r="R63" s="15" t="str">
        <f t="shared" si="2"/>
        <v>Dentro de términos</v>
      </c>
    </row>
    <row r="64" spans="1:18" ht="105" x14ac:dyDescent="0.25">
      <c r="A64" s="15">
        <v>59</v>
      </c>
      <c r="B64" s="15">
        <v>25</v>
      </c>
      <c r="C64" s="15" t="s">
        <v>135</v>
      </c>
      <c r="D64" s="15">
        <v>284502016</v>
      </c>
      <c r="E64" s="15" t="str">
        <f t="shared" si="0"/>
        <v>Atendido</v>
      </c>
      <c r="F64" s="15" t="s">
        <v>27</v>
      </c>
      <c r="G64" s="16">
        <v>42418</v>
      </c>
      <c r="H64" s="16">
        <f>WORKDAY(G64,IF(C64="SOLICITUD DE COPIA",10,IF(C64="SOLICITUD DE INFORMACIÓN",10,IF(C64="CONSULTA",30,15))),'[1]DIAS LABORALES'!$A$1:$A$16)</f>
        <v>42439</v>
      </c>
      <c r="I64" s="16">
        <v>42432</v>
      </c>
      <c r="J64" s="16" t="s">
        <v>250</v>
      </c>
      <c r="K64" s="15" t="s">
        <v>251</v>
      </c>
      <c r="L64" s="15" t="s">
        <v>31</v>
      </c>
      <c r="M64" s="15" t="s">
        <v>29</v>
      </c>
      <c r="N64" s="15" t="s">
        <v>34</v>
      </c>
      <c r="O64" s="15" t="s">
        <v>313</v>
      </c>
      <c r="P64" s="15" t="str">
        <f t="shared" si="1"/>
        <v>SUB</v>
      </c>
      <c r="Q64" s="17">
        <f>NETWORKDAYS(G64,I64,('[1]DIAS LABORALES'!$A$1:$A$16))-1</f>
        <v>10</v>
      </c>
      <c r="R64" s="15" t="str">
        <f t="shared" si="2"/>
        <v>Dentro de términos</v>
      </c>
    </row>
    <row r="65" spans="1:18" ht="210" x14ac:dyDescent="0.25">
      <c r="A65" s="15">
        <v>60</v>
      </c>
      <c r="B65" s="15">
        <v>26</v>
      </c>
      <c r="C65" s="15" t="s">
        <v>135</v>
      </c>
      <c r="D65" s="15">
        <v>277002016</v>
      </c>
      <c r="E65" s="15" t="str">
        <f t="shared" si="0"/>
        <v>Atendido</v>
      </c>
      <c r="F65" s="15" t="s">
        <v>27</v>
      </c>
      <c r="G65" s="16">
        <v>42418</v>
      </c>
      <c r="H65" s="16">
        <f>WORKDAY(G65,IF(C65="SOLICITUD DE COPIA",10,IF(C65="SOLICITUD DE INFORMACIÓN",10,IF(C65="CONSULTA",30,15))),'[1]DIAS LABORALES'!$A$1:$A$16)</f>
        <v>42439</v>
      </c>
      <c r="I65" s="16">
        <v>42424</v>
      </c>
      <c r="J65" s="16" t="s">
        <v>392</v>
      </c>
      <c r="K65" s="15" t="s">
        <v>252</v>
      </c>
      <c r="L65" s="15" t="s">
        <v>31</v>
      </c>
      <c r="M65" s="15" t="s">
        <v>30</v>
      </c>
      <c r="N65" s="15" t="s">
        <v>34</v>
      </c>
      <c r="O65" s="15" t="s">
        <v>291</v>
      </c>
      <c r="P65" s="15" t="str">
        <f t="shared" si="1"/>
        <v>DIR</v>
      </c>
      <c r="Q65" s="17">
        <f>NETWORKDAYS(G65,I65,('[1]DIAS LABORALES'!$A$1:$A$16))-1</f>
        <v>4</v>
      </c>
      <c r="R65" s="15" t="str">
        <f t="shared" si="2"/>
        <v>Dentro de términos</v>
      </c>
    </row>
    <row r="66" spans="1:18" ht="45" x14ac:dyDescent="0.25">
      <c r="A66" s="15">
        <v>61</v>
      </c>
      <c r="B66" s="15">
        <v>27</v>
      </c>
      <c r="C66" s="15" t="s">
        <v>135</v>
      </c>
      <c r="D66" s="15">
        <v>292452016</v>
      </c>
      <c r="E66" s="15" t="str">
        <f t="shared" si="0"/>
        <v>Atendido</v>
      </c>
      <c r="F66" s="15" t="s">
        <v>238</v>
      </c>
      <c r="G66" s="16">
        <v>42418</v>
      </c>
      <c r="H66" s="16">
        <f>WORKDAY(G66,IF(C66="SOLICITUD DE COPIA",10,IF(C66="SOLICITUD DE INFORMACIÓN",10,IF(C66="CONSULTA",30,15))),'[1]DIAS LABORALES'!$A$1:$A$16)</f>
        <v>42439</v>
      </c>
      <c r="I66" s="16">
        <v>42437</v>
      </c>
      <c r="J66" s="16" t="s">
        <v>253</v>
      </c>
      <c r="K66" s="15" t="s">
        <v>254</v>
      </c>
      <c r="L66" s="15" t="s">
        <v>31</v>
      </c>
      <c r="M66" s="15" t="s">
        <v>83</v>
      </c>
      <c r="N66" s="15" t="s">
        <v>35</v>
      </c>
      <c r="O66" s="15" t="s">
        <v>334</v>
      </c>
      <c r="P66" s="15" t="str">
        <f t="shared" si="1"/>
        <v>MIS</v>
      </c>
      <c r="Q66" s="17">
        <f>NETWORKDAYS(G66,I66,('[1]DIAS LABORALES'!$A$1:$A$16))-1</f>
        <v>13</v>
      </c>
      <c r="R66" s="15" t="str">
        <f t="shared" si="2"/>
        <v>Dentro de términos</v>
      </c>
    </row>
    <row r="67" spans="1:18" ht="45" x14ac:dyDescent="0.25">
      <c r="A67" s="15">
        <v>62</v>
      </c>
      <c r="B67" s="15">
        <v>28</v>
      </c>
      <c r="C67" s="15" t="s">
        <v>135</v>
      </c>
      <c r="D67" s="15">
        <v>296082016</v>
      </c>
      <c r="E67" s="15" t="str">
        <f t="shared" si="0"/>
        <v>Atendido</v>
      </c>
      <c r="F67" s="15" t="s">
        <v>239</v>
      </c>
      <c r="G67" s="16">
        <v>42419</v>
      </c>
      <c r="H67" s="16">
        <f>WORKDAY(G67,IF(C67="SOLICITUD DE COPIA",10,IF(C67="SOLICITUD DE INFORMACIÓN",10,IF(C67="CONSULTA",30,15))),'[1]DIAS LABORALES'!$A$1:$A$16)</f>
        <v>42440</v>
      </c>
      <c r="I67" s="16">
        <v>42432</v>
      </c>
      <c r="J67" s="16" t="s">
        <v>255</v>
      </c>
      <c r="K67" s="15" t="s">
        <v>256</v>
      </c>
      <c r="L67" s="15" t="s">
        <v>31</v>
      </c>
      <c r="M67" s="15" t="s">
        <v>29</v>
      </c>
      <c r="N67" s="15" t="s">
        <v>35</v>
      </c>
      <c r="O67" s="15" t="s">
        <v>335</v>
      </c>
      <c r="P67" s="15" t="str">
        <f t="shared" si="1"/>
        <v>SUB</v>
      </c>
      <c r="Q67" s="17">
        <f>NETWORKDAYS(G67,I67,('[1]DIAS LABORALES'!$A$1:$A$16))-1</f>
        <v>9</v>
      </c>
      <c r="R67" s="15" t="str">
        <f t="shared" si="2"/>
        <v>Dentro de términos</v>
      </c>
    </row>
    <row r="68" spans="1:18" ht="90" x14ac:dyDescent="0.25">
      <c r="A68" s="15">
        <v>63</v>
      </c>
      <c r="B68" s="15">
        <v>29</v>
      </c>
      <c r="C68" s="15" t="s">
        <v>136</v>
      </c>
      <c r="D68" s="15">
        <v>291902016</v>
      </c>
      <c r="E68" s="15" t="str">
        <f t="shared" si="0"/>
        <v>Atendido</v>
      </c>
      <c r="F68" s="15" t="s">
        <v>27</v>
      </c>
      <c r="G68" s="16">
        <v>42419</v>
      </c>
      <c r="H68" s="16">
        <f>WORKDAY(G68,IF(C68="SOLICITUD DE COPIA",10,IF(C68="SOLICITUD DE INFORMACIÓN",10,IF(C68="CONSULTA",30,15))),'[1]DIAS LABORALES'!$A$1:$A$16)</f>
        <v>42440</v>
      </c>
      <c r="I68" s="16">
        <v>42432</v>
      </c>
      <c r="J68" s="16" t="s">
        <v>257</v>
      </c>
      <c r="K68" s="15" t="s">
        <v>258</v>
      </c>
      <c r="L68" s="15" t="s">
        <v>259</v>
      </c>
      <c r="M68" s="15" t="s">
        <v>29</v>
      </c>
      <c r="N68" s="15" t="s">
        <v>34</v>
      </c>
      <c r="O68" s="15" t="s">
        <v>314</v>
      </c>
      <c r="P68" s="15" t="str">
        <f t="shared" si="1"/>
        <v>SUB</v>
      </c>
      <c r="Q68" s="17">
        <f>NETWORKDAYS(G68,I68,('[1]DIAS LABORALES'!$A$1:$A$16))-1</f>
        <v>9</v>
      </c>
      <c r="R68" s="15" t="str">
        <f t="shared" si="2"/>
        <v>Dentro de términos</v>
      </c>
    </row>
    <row r="69" spans="1:18" ht="45" x14ac:dyDescent="0.25">
      <c r="A69" s="15">
        <v>64</v>
      </c>
      <c r="B69" s="15">
        <v>30</v>
      </c>
      <c r="C69" s="15" t="s">
        <v>72</v>
      </c>
      <c r="D69" s="15">
        <v>322152016</v>
      </c>
      <c r="E69" s="15" t="str">
        <f t="shared" si="0"/>
        <v>Atendido</v>
      </c>
      <c r="F69" s="15" t="s">
        <v>240</v>
      </c>
      <c r="G69" s="16">
        <v>42423</v>
      </c>
      <c r="H69" s="16">
        <f>WORKDAY(G69,IF(C69="SOLICITUD DE COPIA",10,IF(C69="SOLICITUD DE INFORMACIÓN",10,IF(C69="CONSULTA",30,15))),'[1]DIAS LABORALES'!$A$1:$A$16)</f>
        <v>42444</v>
      </c>
      <c r="I69" s="16">
        <v>42437</v>
      </c>
      <c r="J69" s="16" t="s">
        <v>260</v>
      </c>
      <c r="K69" s="15" t="s">
        <v>261</v>
      </c>
      <c r="L69" s="15" t="s">
        <v>177</v>
      </c>
      <c r="M69" s="15" t="s">
        <v>83</v>
      </c>
      <c r="N69" s="15" t="s">
        <v>35</v>
      </c>
      <c r="O69" s="15" t="s">
        <v>336</v>
      </c>
      <c r="P69" s="15" t="str">
        <f t="shared" si="1"/>
        <v>MIS</v>
      </c>
      <c r="Q69" s="17">
        <f>NETWORKDAYS(G69,I69,('[1]DIAS LABORALES'!$A$1:$A$16))-1</f>
        <v>10</v>
      </c>
      <c r="R69" s="15" t="str">
        <f t="shared" si="2"/>
        <v>Dentro de términos</v>
      </c>
    </row>
    <row r="70" spans="1:18" ht="45" x14ac:dyDescent="0.25">
      <c r="A70" s="15">
        <v>65</v>
      </c>
      <c r="B70" s="15">
        <v>31</v>
      </c>
      <c r="C70" s="15" t="s">
        <v>107</v>
      </c>
      <c r="D70" s="15">
        <v>325232016</v>
      </c>
      <c r="E70" s="15" t="str">
        <f t="shared" ref="E70:E109" si="3">+IF(I70=0,"En Tramite","Atendido")</f>
        <v>Atendido</v>
      </c>
      <c r="F70" s="15" t="s">
        <v>241</v>
      </c>
      <c r="G70" s="16">
        <v>42424</v>
      </c>
      <c r="H70" s="16">
        <f>WORKDAY(G70,IF(C70="SOLICITUD DE COPIA",10,IF(C70="SOLICITUD DE INFORMACIÓN",10,IF(C70="CONSULTA",30,15))),'[1]DIAS LABORALES'!$A$1:$A$16)</f>
        <v>42445</v>
      </c>
      <c r="I70" s="16">
        <v>42438</v>
      </c>
      <c r="J70" s="16" t="s">
        <v>262</v>
      </c>
      <c r="K70" s="15" t="s">
        <v>263</v>
      </c>
      <c r="L70" s="15" t="s">
        <v>31</v>
      </c>
      <c r="M70" s="15" t="s">
        <v>83</v>
      </c>
      <c r="N70" s="15" t="s">
        <v>35</v>
      </c>
      <c r="O70" s="15" t="s">
        <v>337</v>
      </c>
      <c r="P70" s="15" t="str">
        <f t="shared" ref="P70:P109" si="4">LEFT(M70,3)</f>
        <v>MIS</v>
      </c>
      <c r="Q70" s="17">
        <f>NETWORKDAYS(G70,I70,('[1]DIAS LABORALES'!$A$1:$A$16))-1</f>
        <v>10</v>
      </c>
      <c r="R70" s="15" t="str">
        <f t="shared" si="2"/>
        <v>Dentro de términos</v>
      </c>
    </row>
    <row r="71" spans="1:18" ht="60" x14ac:dyDescent="0.25">
      <c r="A71" s="15">
        <v>66</v>
      </c>
      <c r="B71" s="15">
        <v>32</v>
      </c>
      <c r="C71" s="15" t="s">
        <v>81</v>
      </c>
      <c r="D71" s="15">
        <v>325292016</v>
      </c>
      <c r="E71" s="15" t="str">
        <f t="shared" si="3"/>
        <v>Atendido</v>
      </c>
      <c r="F71" s="15" t="s">
        <v>242</v>
      </c>
      <c r="G71" s="16">
        <v>42424</v>
      </c>
      <c r="H71" s="16">
        <f>WORKDAY(G71,IF(C71="SOLICITUD DE COPIA",10,IF(C71="SOLICITUD DE INFORMACIÓN",10,IF(C71="CONSULTA",30,15))),'[1]DIAS LABORALES'!$A$1:$A$16)</f>
        <v>42438</v>
      </c>
      <c r="I71" s="16">
        <v>42438</v>
      </c>
      <c r="J71" s="16" t="s">
        <v>264</v>
      </c>
      <c r="K71" s="15" t="s">
        <v>265</v>
      </c>
      <c r="L71" s="15" t="s">
        <v>31</v>
      </c>
      <c r="M71" s="15" t="s">
        <v>83</v>
      </c>
      <c r="N71" s="15" t="s">
        <v>35</v>
      </c>
      <c r="O71" s="15" t="s">
        <v>338</v>
      </c>
      <c r="P71" s="15" t="str">
        <f t="shared" si="4"/>
        <v>MIS</v>
      </c>
      <c r="Q71" s="17">
        <f>NETWORKDAYS(G71,I71,('[1]DIAS LABORALES'!$A$1:$A$16))-1</f>
        <v>10</v>
      </c>
      <c r="R71" s="15" t="str">
        <f t="shared" ref="R71:R109" si="5">IF(I71=0,"En Tramite",IF(AND(C71="SOLICITUD DE COPIA",Q71&lt;=10),"Dentro de términos",IF(AND(C71="SOLICITUD DE INFORMACIÓN",Q71&lt;=10),"Dentro de términos",IF(AND(OR(C71="DENUNCIA",C71="FELICITACIÓN",C71="QUEJA",C71="RECLAMO",C71="SUGERENCIA",C71="PETICIÓN INTERÉS GENERAL",C71="PETICIÓN INTERÉS PARTICULAR"),Q71&lt;=15),"Dentro de términos","Fuera de términos"))))</f>
        <v>Dentro de términos</v>
      </c>
    </row>
    <row r="72" spans="1:18" ht="45" x14ac:dyDescent="0.25">
      <c r="A72" s="15">
        <v>67</v>
      </c>
      <c r="B72" s="15">
        <v>33</v>
      </c>
      <c r="C72" s="15" t="s">
        <v>72</v>
      </c>
      <c r="D72" s="15">
        <v>347462016</v>
      </c>
      <c r="E72" s="15" t="str">
        <f t="shared" si="3"/>
        <v>Atendido</v>
      </c>
      <c r="F72" s="15" t="s">
        <v>243</v>
      </c>
      <c r="G72" s="16">
        <v>42426</v>
      </c>
      <c r="H72" s="16">
        <f>WORKDAY(G72,IF(C72="SOLICITUD DE COPIA",10,IF(C72="SOLICITUD DE INFORMACIÓN",10,IF(C72="CONSULTA",30,15))),'[1]DIAS LABORALES'!$A$1:$A$16)</f>
        <v>42447</v>
      </c>
      <c r="I72" s="16">
        <v>42447</v>
      </c>
      <c r="J72" s="16" t="s">
        <v>266</v>
      </c>
      <c r="K72" s="15" t="s">
        <v>267</v>
      </c>
      <c r="L72" s="15" t="s">
        <v>177</v>
      </c>
      <c r="M72" s="15" t="s">
        <v>78</v>
      </c>
      <c r="N72" s="15" t="s">
        <v>35</v>
      </c>
      <c r="O72" s="15" t="s">
        <v>385</v>
      </c>
      <c r="P72" s="15" t="str">
        <f t="shared" si="4"/>
        <v>SUB</v>
      </c>
      <c r="Q72" s="17">
        <f>NETWORKDAYS(G72,I72,('[1]DIAS LABORALES'!$A$1:$A$16))-1</f>
        <v>15</v>
      </c>
      <c r="R72" s="15" t="str">
        <f t="shared" si="5"/>
        <v>Dentro de términos</v>
      </c>
    </row>
    <row r="73" spans="1:18" ht="45" x14ac:dyDescent="0.25">
      <c r="A73" s="15">
        <v>68</v>
      </c>
      <c r="B73" s="15">
        <v>34</v>
      </c>
      <c r="C73" s="15" t="s">
        <v>81</v>
      </c>
      <c r="D73" s="15">
        <v>304372016</v>
      </c>
      <c r="E73" s="15" t="str">
        <f t="shared" si="3"/>
        <v>Atendido</v>
      </c>
      <c r="F73" s="15" t="s">
        <v>27</v>
      </c>
      <c r="G73" s="16">
        <v>42424</v>
      </c>
      <c r="H73" s="16">
        <f>WORKDAY(G73,IF(C73="SOLICITUD DE COPIA",10,IF(C73="SOLICITUD DE INFORMACIÓN",10,IF(C73="CONSULTA",30,15))),'[1]DIAS LABORALES'!$A$1:$A$16)</f>
        <v>42438</v>
      </c>
      <c r="I73" s="16">
        <v>42429</v>
      </c>
      <c r="J73" s="16" t="s">
        <v>268</v>
      </c>
      <c r="K73" s="15" t="s">
        <v>236</v>
      </c>
      <c r="L73" s="15" t="s">
        <v>31</v>
      </c>
      <c r="M73" s="15" t="s">
        <v>150</v>
      </c>
      <c r="N73" s="15" t="s">
        <v>34</v>
      </c>
      <c r="O73" s="15" t="s">
        <v>340</v>
      </c>
      <c r="P73" s="15" t="str">
        <f t="shared" si="4"/>
        <v>BAÑ</v>
      </c>
      <c r="Q73" s="17">
        <f>NETWORKDAYS(G73,I73,('[1]DIAS LABORALES'!$A$1:$A$16))-1</f>
        <v>3</v>
      </c>
      <c r="R73" s="15" t="str">
        <f t="shared" si="5"/>
        <v>Dentro de términos</v>
      </c>
    </row>
    <row r="74" spans="1:18" ht="45" x14ac:dyDescent="0.25">
      <c r="A74" s="15">
        <v>69</v>
      </c>
      <c r="B74" s="15">
        <v>35</v>
      </c>
      <c r="C74" s="15" t="s">
        <v>135</v>
      </c>
      <c r="D74" s="15">
        <v>328252016</v>
      </c>
      <c r="E74" s="15" t="str">
        <f t="shared" si="3"/>
        <v>Atendido</v>
      </c>
      <c r="F74" s="15" t="s">
        <v>27</v>
      </c>
      <c r="G74" s="16">
        <v>42426</v>
      </c>
      <c r="H74" s="16">
        <f>WORKDAY(G74,IF(C74="SOLICITUD DE COPIA",10,IF(C74="SOLICITUD DE INFORMACIÓN",10,IF(C74="CONSULTA",30,15))),'[1]DIAS LABORALES'!$A$1:$A$16)</f>
        <v>42447</v>
      </c>
      <c r="I74" s="16">
        <v>42440</v>
      </c>
      <c r="J74" s="16" t="s">
        <v>269</v>
      </c>
      <c r="K74" s="15" t="s">
        <v>270</v>
      </c>
      <c r="L74" s="15" t="s">
        <v>31</v>
      </c>
      <c r="M74" s="15" t="s">
        <v>29</v>
      </c>
      <c r="N74" s="15" t="s">
        <v>34</v>
      </c>
      <c r="O74" s="15" t="s">
        <v>339</v>
      </c>
      <c r="P74" s="15" t="str">
        <f t="shared" si="4"/>
        <v>SUB</v>
      </c>
      <c r="Q74" s="17">
        <f>NETWORKDAYS(G74,I74,('[1]DIAS LABORALES'!$A$1:$A$16))-1</f>
        <v>10</v>
      </c>
      <c r="R74" s="15" t="str">
        <f t="shared" si="5"/>
        <v>Dentro de términos</v>
      </c>
    </row>
    <row r="75" spans="1:18" ht="285" x14ac:dyDescent="0.25">
      <c r="A75" s="15">
        <v>70</v>
      </c>
      <c r="B75" s="15">
        <v>36</v>
      </c>
      <c r="C75" s="15" t="s">
        <v>72</v>
      </c>
      <c r="D75" s="15">
        <v>345912016</v>
      </c>
      <c r="E75" s="15" t="str">
        <f t="shared" si="3"/>
        <v>Atendido</v>
      </c>
      <c r="F75" s="15" t="s">
        <v>27</v>
      </c>
      <c r="G75" s="16">
        <v>42426</v>
      </c>
      <c r="H75" s="16">
        <f>WORKDAY(G75,IF(C75="SOLICITUD DE COPIA",10,IF(C75="SOLICITUD DE INFORMACIÓN",10,IF(C75="CONSULTA",30,15))),'[1]DIAS LABORALES'!$A$1:$A$16)</f>
        <v>42447</v>
      </c>
      <c r="I75" s="16">
        <v>42432</v>
      </c>
      <c r="J75" s="16" t="s">
        <v>392</v>
      </c>
      <c r="K75" s="15" t="s">
        <v>271</v>
      </c>
      <c r="L75" s="15" t="s">
        <v>177</v>
      </c>
      <c r="M75" s="15" t="s">
        <v>77</v>
      </c>
      <c r="N75" s="15" t="s">
        <v>34</v>
      </c>
      <c r="O75" s="15" t="s">
        <v>341</v>
      </c>
      <c r="P75" s="15" t="str">
        <f t="shared" si="4"/>
        <v>JUR</v>
      </c>
      <c r="Q75" s="17">
        <f>NETWORKDAYS(G75,I75,('[1]DIAS LABORALES'!$A$1:$A$16))-1</f>
        <v>4</v>
      </c>
      <c r="R75" s="15" t="str">
        <f t="shared" si="5"/>
        <v>Dentro de términos</v>
      </c>
    </row>
    <row r="76" spans="1:18" ht="60" x14ac:dyDescent="0.25">
      <c r="A76" s="15">
        <v>71</v>
      </c>
      <c r="B76" s="15">
        <v>1</v>
      </c>
      <c r="C76" s="15" t="s">
        <v>135</v>
      </c>
      <c r="D76" s="15">
        <v>356022016</v>
      </c>
      <c r="E76" s="15" t="str">
        <f t="shared" si="3"/>
        <v>Atendido</v>
      </c>
      <c r="F76" s="15" t="s">
        <v>272</v>
      </c>
      <c r="G76" s="16">
        <v>42430</v>
      </c>
      <c r="H76" s="16">
        <f>WORKDAY(G76,IF(C76="SOLICITUD DE COPIA",10,IF(C76="SOLICITUD DE INFORMACIÓN",10,IF(C76="CONSULTA",30,15))),'[1]DIAS LABORALES'!$A$1:$A$16)</f>
        <v>42452</v>
      </c>
      <c r="I76" s="16">
        <v>42446</v>
      </c>
      <c r="J76" s="16" t="s">
        <v>275</v>
      </c>
      <c r="K76" s="15" t="s">
        <v>276</v>
      </c>
      <c r="L76" s="15" t="s">
        <v>31</v>
      </c>
      <c r="M76" s="15" t="s">
        <v>29</v>
      </c>
      <c r="N76" s="15" t="s">
        <v>34</v>
      </c>
      <c r="O76" s="15" t="s">
        <v>386</v>
      </c>
      <c r="P76" s="15" t="str">
        <f t="shared" si="4"/>
        <v>SUB</v>
      </c>
      <c r="Q76" s="17">
        <f>NETWORKDAYS(G76,I76,('[1]DIAS LABORALES'!$A$1:$A$16))-1</f>
        <v>12</v>
      </c>
      <c r="R76" s="15" t="str">
        <f t="shared" si="5"/>
        <v>Dentro de términos</v>
      </c>
    </row>
    <row r="77" spans="1:18" ht="90" x14ac:dyDescent="0.25">
      <c r="A77" s="15">
        <v>72</v>
      </c>
      <c r="B77" s="15">
        <v>2</v>
      </c>
      <c r="C77" s="15" t="s">
        <v>81</v>
      </c>
      <c r="D77" s="15">
        <v>355882016</v>
      </c>
      <c r="E77" s="15" t="str">
        <f t="shared" si="3"/>
        <v>Atendido</v>
      </c>
      <c r="F77" s="15" t="s">
        <v>273</v>
      </c>
      <c r="G77" s="16">
        <v>42430</v>
      </c>
      <c r="H77" s="16">
        <f>WORKDAY(G77,IF(C77="SOLICITUD DE COPIA",10,IF(C77="SOLICITUD DE INFORMACIÓN",10,IF(C77="CONSULTA",30,15))),'[1]DIAS LABORALES'!$A$1:$A$16)</f>
        <v>42444</v>
      </c>
      <c r="I77" s="16">
        <v>42440</v>
      </c>
      <c r="J77" s="16" t="s">
        <v>274</v>
      </c>
      <c r="K77" s="15" t="s">
        <v>277</v>
      </c>
      <c r="L77" s="15" t="s">
        <v>79</v>
      </c>
      <c r="M77" s="15" t="s">
        <v>29</v>
      </c>
      <c r="N77" s="15" t="s">
        <v>34</v>
      </c>
      <c r="O77" s="15" t="s">
        <v>355</v>
      </c>
      <c r="P77" s="15" t="str">
        <f t="shared" si="4"/>
        <v>SUB</v>
      </c>
      <c r="Q77" s="17">
        <f>NETWORKDAYS(G77,I77,('[1]DIAS LABORALES'!$A$1:$A$16))-1</f>
        <v>8</v>
      </c>
      <c r="R77" s="15" t="str">
        <f t="shared" si="5"/>
        <v>Dentro de términos</v>
      </c>
    </row>
    <row r="78" spans="1:18" ht="45" x14ac:dyDescent="0.25">
      <c r="A78" s="15">
        <v>73</v>
      </c>
      <c r="B78" s="15">
        <v>3</v>
      </c>
      <c r="C78" s="15" t="s">
        <v>136</v>
      </c>
      <c r="D78" s="15">
        <v>378042016</v>
      </c>
      <c r="E78" s="15" t="str">
        <f t="shared" si="3"/>
        <v>Atendido</v>
      </c>
      <c r="F78" s="15" t="s">
        <v>310</v>
      </c>
      <c r="G78" s="16">
        <v>42432</v>
      </c>
      <c r="H78" s="16">
        <f>WORKDAY(G78,IF(C78="SOLICITUD DE COPIA",10,IF(C78="SOLICITUD DE INFORMACIÓN",10,IF(C78="CONSULTA",30,15))),'[1]DIAS LABORALES'!$A$1:$A$16)</f>
        <v>42458</v>
      </c>
      <c r="I78" s="16">
        <v>42458</v>
      </c>
      <c r="J78" s="16" t="s">
        <v>305</v>
      </c>
      <c r="K78" s="15" t="s">
        <v>306</v>
      </c>
      <c r="L78" s="15" t="s">
        <v>31</v>
      </c>
      <c r="M78" s="15" t="s">
        <v>93</v>
      </c>
      <c r="N78" s="15" t="s">
        <v>35</v>
      </c>
      <c r="O78" s="15" t="s">
        <v>405</v>
      </c>
      <c r="P78" s="15" t="str">
        <f t="shared" si="4"/>
        <v>DES</v>
      </c>
      <c r="Q78" s="17">
        <f>NETWORKDAYS(G78,I78,('[1]DIAS LABORALES'!$A$1:$A$16))-1</f>
        <v>15</v>
      </c>
      <c r="R78" s="15" t="str">
        <f t="shared" si="5"/>
        <v>Dentro de términos</v>
      </c>
    </row>
    <row r="79" spans="1:18" ht="165" x14ac:dyDescent="0.25">
      <c r="A79" s="15">
        <v>74</v>
      </c>
      <c r="B79" s="15">
        <v>4</v>
      </c>
      <c r="C79" s="15" t="s">
        <v>81</v>
      </c>
      <c r="D79" s="15">
        <v>358942016</v>
      </c>
      <c r="E79" s="15" t="str">
        <f t="shared" si="3"/>
        <v>Atendido</v>
      </c>
      <c r="F79" s="15" t="s">
        <v>27</v>
      </c>
      <c r="G79" s="16">
        <v>42432</v>
      </c>
      <c r="H79" s="16">
        <f>WORKDAY(G79,IF(C79="SOLICITUD DE COPIA",10,IF(C79="SOLICITUD DE INFORMACIÓN",10,IF(C79="CONSULTA",30,15))),'[1]DIAS LABORALES'!$A$1:$A$16)</f>
        <v>42446</v>
      </c>
      <c r="I79" s="16">
        <v>42446</v>
      </c>
      <c r="J79" s="16" t="s">
        <v>63</v>
      </c>
      <c r="K79" s="15" t="s">
        <v>307</v>
      </c>
      <c r="L79" s="15" t="s">
        <v>31</v>
      </c>
      <c r="M79" s="15" t="s">
        <v>30</v>
      </c>
      <c r="N79" s="15" t="s">
        <v>35</v>
      </c>
      <c r="O79" s="15" t="s">
        <v>387</v>
      </c>
      <c r="P79" s="15" t="str">
        <f t="shared" si="4"/>
        <v>DIR</v>
      </c>
      <c r="Q79" s="17">
        <f>NETWORKDAYS(G79,I79,('[1]DIAS LABORALES'!$A$1:$A$16))-1</f>
        <v>10</v>
      </c>
      <c r="R79" s="15" t="str">
        <f t="shared" si="5"/>
        <v>Dentro de términos</v>
      </c>
    </row>
    <row r="80" spans="1:18" ht="45" x14ac:dyDescent="0.25">
      <c r="A80" s="15">
        <v>75</v>
      </c>
      <c r="B80" s="15">
        <v>5</v>
      </c>
      <c r="C80" s="15" t="s">
        <v>135</v>
      </c>
      <c r="D80" s="15">
        <v>380562016</v>
      </c>
      <c r="E80" s="15" t="str">
        <f t="shared" si="3"/>
        <v>Atendido</v>
      </c>
      <c r="F80" s="15" t="s">
        <v>311</v>
      </c>
      <c r="G80" s="16">
        <v>42432</v>
      </c>
      <c r="H80" s="16">
        <f>WORKDAY(G80,IF(C80="SOLICITUD DE COPIA",10,IF(C80="SOLICITUD DE INFORMACIÓN",10,IF(C80="CONSULTA",30,15))),'[1]DIAS LABORALES'!$A$1:$A$16)</f>
        <v>42458</v>
      </c>
      <c r="I80" s="16">
        <v>42446</v>
      </c>
      <c r="J80" s="16" t="s">
        <v>308</v>
      </c>
      <c r="K80" s="15" t="s">
        <v>309</v>
      </c>
      <c r="L80" s="15" t="s">
        <v>31</v>
      </c>
      <c r="M80" s="15" t="s">
        <v>93</v>
      </c>
      <c r="N80" s="15" t="s">
        <v>35</v>
      </c>
      <c r="O80" s="15" t="s">
        <v>396</v>
      </c>
      <c r="P80" s="15" t="str">
        <f t="shared" si="4"/>
        <v>DES</v>
      </c>
      <c r="Q80" s="17">
        <f>NETWORKDAYS(G80,I80,('[1]DIAS LABORALES'!$A$1:$A$16))-1</f>
        <v>10</v>
      </c>
      <c r="R80" s="15" t="str">
        <f t="shared" si="5"/>
        <v>Dentro de términos</v>
      </c>
    </row>
    <row r="81" spans="1:18" ht="45" x14ac:dyDescent="0.25">
      <c r="A81" s="15">
        <v>76</v>
      </c>
      <c r="B81" s="15">
        <v>6</v>
      </c>
      <c r="C81" s="15" t="s">
        <v>135</v>
      </c>
      <c r="D81" s="15">
        <v>401802016</v>
      </c>
      <c r="E81" s="15" t="str">
        <f t="shared" si="3"/>
        <v>Atendido</v>
      </c>
      <c r="F81" s="15" t="s">
        <v>315</v>
      </c>
      <c r="G81" s="16">
        <v>42436</v>
      </c>
      <c r="H81" s="16">
        <f>WORKDAY(G81,IF(C81="SOLICITUD DE COPIA",10,IF(C81="SOLICITUD DE INFORMACIÓN",10,IF(C81="CONSULTA",30,15))),'[1]DIAS LABORALES'!$A$1:$A$16)</f>
        <v>42460</v>
      </c>
      <c r="I81" s="16">
        <v>42458</v>
      </c>
      <c r="J81" s="16" t="s">
        <v>320</v>
      </c>
      <c r="K81" s="15" t="s">
        <v>318</v>
      </c>
      <c r="L81" s="15" t="s">
        <v>31</v>
      </c>
      <c r="M81" s="15" t="s">
        <v>83</v>
      </c>
      <c r="N81" s="15" t="s">
        <v>35</v>
      </c>
      <c r="O81" s="15" t="s">
        <v>408</v>
      </c>
      <c r="P81" s="15" t="str">
        <f t="shared" si="4"/>
        <v>MIS</v>
      </c>
      <c r="Q81" s="17">
        <f>NETWORKDAYS(G81,I81,('[1]DIAS LABORALES'!$A$1:$A$16))-1</f>
        <v>13</v>
      </c>
      <c r="R81" s="15" t="str">
        <f t="shared" si="5"/>
        <v>Dentro de términos</v>
      </c>
    </row>
    <row r="82" spans="1:18" ht="45" x14ac:dyDescent="0.25">
      <c r="A82" s="15">
        <v>77</v>
      </c>
      <c r="B82" s="15">
        <v>7</v>
      </c>
      <c r="C82" s="15" t="s">
        <v>135</v>
      </c>
      <c r="D82" s="15">
        <v>401922016</v>
      </c>
      <c r="E82" s="15" t="str">
        <f t="shared" si="3"/>
        <v>Atendido</v>
      </c>
      <c r="F82" s="15" t="s">
        <v>316</v>
      </c>
      <c r="G82" s="16">
        <v>42436</v>
      </c>
      <c r="H82" s="16">
        <f>WORKDAY(G82,IF(C82="SOLICITUD DE COPIA",10,IF(C82="SOLICITUD DE INFORMACIÓN",10,IF(C82="CONSULTA",30,15))),'[1]DIAS LABORALES'!$A$1:$A$16)</f>
        <v>42460</v>
      </c>
      <c r="I82" s="16">
        <v>42458</v>
      </c>
      <c r="J82" s="16" t="s">
        <v>317</v>
      </c>
      <c r="K82" s="15" t="s">
        <v>319</v>
      </c>
      <c r="L82" s="15" t="s">
        <v>31</v>
      </c>
      <c r="M82" s="15" t="s">
        <v>83</v>
      </c>
      <c r="N82" s="15" t="s">
        <v>35</v>
      </c>
      <c r="O82" s="15" t="s">
        <v>409</v>
      </c>
      <c r="P82" s="15" t="str">
        <f t="shared" si="4"/>
        <v>MIS</v>
      </c>
      <c r="Q82" s="17">
        <f>NETWORKDAYS(G82,I82,('[1]DIAS LABORALES'!$A$1:$A$16))-1</f>
        <v>13</v>
      </c>
      <c r="R82" s="15" t="str">
        <f t="shared" si="5"/>
        <v>Dentro de términos</v>
      </c>
    </row>
    <row r="83" spans="1:18" ht="45" x14ac:dyDescent="0.25">
      <c r="A83" s="15">
        <v>78</v>
      </c>
      <c r="B83" s="15">
        <v>8</v>
      </c>
      <c r="C83" s="15" t="s">
        <v>135</v>
      </c>
      <c r="D83" s="15">
        <v>412962016</v>
      </c>
      <c r="E83" s="15" t="str">
        <f t="shared" si="3"/>
        <v>Atendido</v>
      </c>
      <c r="F83" s="15" t="s">
        <v>321</v>
      </c>
      <c r="G83" s="16">
        <v>42437</v>
      </c>
      <c r="H83" s="16">
        <f>WORKDAY(G83,IF(C83="SOLICITUD DE COPIA",10,IF(C83="SOLICITUD DE INFORMACIÓN",10,IF(C83="CONSULTA",30,15))),'[1]DIAS LABORALES'!$A$1:$A$16)</f>
        <v>42461</v>
      </c>
      <c r="I83" s="16">
        <v>42458</v>
      </c>
      <c r="J83" s="16" t="s">
        <v>322</v>
      </c>
      <c r="K83" s="15" t="s">
        <v>323</v>
      </c>
      <c r="L83" s="15" t="s">
        <v>31</v>
      </c>
      <c r="M83" s="15" t="s">
        <v>83</v>
      </c>
      <c r="N83" s="15" t="s">
        <v>35</v>
      </c>
      <c r="O83" s="15" t="s">
        <v>410</v>
      </c>
      <c r="P83" s="15" t="str">
        <f t="shared" si="4"/>
        <v>MIS</v>
      </c>
      <c r="Q83" s="17">
        <f>NETWORKDAYS(G83,I83,('[1]DIAS LABORALES'!$A$1:$A$16))-1</f>
        <v>12</v>
      </c>
      <c r="R83" s="15" t="str">
        <f t="shared" si="5"/>
        <v>Dentro de términos</v>
      </c>
    </row>
    <row r="84" spans="1:18" ht="45" x14ac:dyDescent="0.25">
      <c r="A84" s="15">
        <v>79</v>
      </c>
      <c r="B84" s="15">
        <v>9</v>
      </c>
      <c r="C84" s="15" t="s">
        <v>135</v>
      </c>
      <c r="D84" s="15">
        <v>402092016</v>
      </c>
      <c r="E84" s="15" t="str">
        <f t="shared" si="3"/>
        <v>Atendido</v>
      </c>
      <c r="F84" s="15" t="s">
        <v>27</v>
      </c>
      <c r="G84" s="16">
        <v>42437</v>
      </c>
      <c r="H84" s="16">
        <f>WORKDAY(G84,IF(C84="SOLICITUD DE COPIA",10,IF(C84="SOLICITUD DE INFORMACIÓN",10,IF(C84="CONSULTA",30,15))),'[1]DIAS LABORALES'!$A$1:$A$16)</f>
        <v>42461</v>
      </c>
      <c r="I84" s="16">
        <v>42444</v>
      </c>
      <c r="J84" s="16" t="s">
        <v>324</v>
      </c>
      <c r="K84" s="15" t="s">
        <v>325</v>
      </c>
      <c r="L84" s="15" t="s">
        <v>31</v>
      </c>
      <c r="M84" s="15" t="s">
        <v>30</v>
      </c>
      <c r="N84" s="15" t="s">
        <v>34</v>
      </c>
      <c r="O84" s="15" t="s">
        <v>388</v>
      </c>
      <c r="P84" s="15" t="str">
        <f t="shared" si="4"/>
        <v>DIR</v>
      </c>
      <c r="Q84" s="17">
        <f>NETWORKDAYS(G84,I84,('[1]DIAS LABORALES'!$A$1:$A$16))-1</f>
        <v>5</v>
      </c>
      <c r="R84" s="15" t="str">
        <f t="shared" si="5"/>
        <v>Dentro de términos</v>
      </c>
    </row>
    <row r="85" spans="1:18" ht="45" x14ac:dyDescent="0.25">
      <c r="A85" s="15">
        <v>80</v>
      </c>
      <c r="B85" s="15">
        <v>10</v>
      </c>
      <c r="C85" s="15" t="s">
        <v>108</v>
      </c>
      <c r="D85" s="15">
        <v>434862016</v>
      </c>
      <c r="E85" s="15" t="str">
        <f t="shared" si="3"/>
        <v>Atendido</v>
      </c>
      <c r="F85" s="15" t="s">
        <v>326</v>
      </c>
      <c r="G85" s="16">
        <v>42440</v>
      </c>
      <c r="H85" s="16">
        <f>WORKDAY(G85,IF(C85="SOLICITUD DE COPIA",10,IF(C85="SOLICITUD DE INFORMACIÓN",10,IF(C85="CONSULTA",30,15))),'[1]DIAS LABORALES'!$A$1:$A$16)</f>
        <v>42466</v>
      </c>
      <c r="I85" s="16">
        <v>42459</v>
      </c>
      <c r="J85" s="16" t="s">
        <v>330</v>
      </c>
      <c r="K85" s="15" t="s">
        <v>354</v>
      </c>
      <c r="L85" s="15" t="s">
        <v>33</v>
      </c>
      <c r="M85" s="15" t="s">
        <v>29</v>
      </c>
      <c r="N85" s="15" t="s">
        <v>111</v>
      </c>
      <c r="O85" s="15" t="s">
        <v>411</v>
      </c>
      <c r="P85" s="15" t="str">
        <f t="shared" si="4"/>
        <v>SUB</v>
      </c>
      <c r="Q85" s="17">
        <f>NETWORKDAYS(G85,I85,('[1]DIAS LABORALES'!$A$1:$A$16))-1</f>
        <v>10</v>
      </c>
      <c r="R85" s="15" t="str">
        <f t="shared" si="5"/>
        <v>Dentro de términos</v>
      </c>
    </row>
    <row r="86" spans="1:18" ht="45" x14ac:dyDescent="0.25">
      <c r="A86" s="15">
        <v>81</v>
      </c>
      <c r="B86" s="15">
        <v>11</v>
      </c>
      <c r="C86" s="15" t="s">
        <v>108</v>
      </c>
      <c r="D86" s="15">
        <v>434902016</v>
      </c>
      <c r="E86" s="15" t="str">
        <f t="shared" si="3"/>
        <v>Atendido</v>
      </c>
      <c r="F86" s="15" t="s">
        <v>327</v>
      </c>
      <c r="G86" s="16">
        <v>42440</v>
      </c>
      <c r="H86" s="16">
        <f>WORKDAY(G86,IF(C86="SOLICITUD DE COPIA",10,IF(C86="SOLICITUD DE INFORMACIÓN",10,IF(C86="CONSULTA",30,15))),'[1]DIAS LABORALES'!$A$1:$A$16)</f>
        <v>42466</v>
      </c>
      <c r="I86" s="16">
        <v>42459</v>
      </c>
      <c r="J86" s="16" t="s">
        <v>331</v>
      </c>
      <c r="K86" s="15" t="s">
        <v>353</v>
      </c>
      <c r="L86" s="15" t="s">
        <v>33</v>
      </c>
      <c r="M86" s="15" t="s">
        <v>29</v>
      </c>
      <c r="N86" s="15" t="s">
        <v>111</v>
      </c>
      <c r="O86" s="15" t="s">
        <v>421</v>
      </c>
      <c r="P86" s="15" t="str">
        <f t="shared" si="4"/>
        <v>SUB</v>
      </c>
      <c r="Q86" s="17">
        <f>NETWORKDAYS(G86,I86,('[1]DIAS LABORALES'!$A$1:$A$16))-1</f>
        <v>10</v>
      </c>
      <c r="R86" s="15" t="str">
        <f t="shared" si="5"/>
        <v>Dentro de términos</v>
      </c>
    </row>
    <row r="87" spans="1:18" ht="45" x14ac:dyDescent="0.25">
      <c r="A87" s="15">
        <v>82</v>
      </c>
      <c r="B87" s="15">
        <v>12</v>
      </c>
      <c r="C87" s="15" t="s">
        <v>108</v>
      </c>
      <c r="D87" s="15">
        <v>434962016</v>
      </c>
      <c r="E87" s="15" t="str">
        <f t="shared" si="3"/>
        <v>Atendido</v>
      </c>
      <c r="F87" s="15" t="s">
        <v>328</v>
      </c>
      <c r="G87" s="16">
        <v>42440</v>
      </c>
      <c r="H87" s="16">
        <f>WORKDAY(G87,IF(C87="SOLICITUD DE COPIA",10,IF(C87="SOLICITUD DE INFORMACIÓN",10,IF(C87="CONSULTA",30,15))),'[1]DIAS LABORALES'!$A$1:$A$16)</f>
        <v>42466</v>
      </c>
      <c r="I87" s="16">
        <v>42459</v>
      </c>
      <c r="J87" s="16" t="s">
        <v>332</v>
      </c>
      <c r="K87" s="15" t="s">
        <v>352</v>
      </c>
      <c r="L87" s="15" t="s">
        <v>33</v>
      </c>
      <c r="M87" s="15" t="s">
        <v>29</v>
      </c>
      <c r="N87" s="15" t="s">
        <v>111</v>
      </c>
      <c r="O87" s="15" t="s">
        <v>420</v>
      </c>
      <c r="P87" s="15" t="str">
        <f t="shared" si="4"/>
        <v>SUB</v>
      </c>
      <c r="Q87" s="17">
        <f>NETWORKDAYS(G87,I87,('[1]DIAS LABORALES'!$A$1:$A$16))-1</f>
        <v>10</v>
      </c>
      <c r="R87" s="15" t="str">
        <f t="shared" si="5"/>
        <v>Dentro de términos</v>
      </c>
    </row>
    <row r="88" spans="1:18" ht="45" x14ac:dyDescent="0.25">
      <c r="A88" s="15">
        <v>83</v>
      </c>
      <c r="B88" s="15">
        <v>13</v>
      </c>
      <c r="C88" s="15" t="s">
        <v>108</v>
      </c>
      <c r="D88" s="15">
        <v>434992016</v>
      </c>
      <c r="E88" s="15" t="str">
        <f t="shared" si="3"/>
        <v>Atendido</v>
      </c>
      <c r="F88" s="15" t="s">
        <v>329</v>
      </c>
      <c r="G88" s="16">
        <v>42440</v>
      </c>
      <c r="H88" s="16">
        <f>WORKDAY(G88,IF(C88="SOLICITUD DE COPIA",10,IF(C88="SOLICITUD DE INFORMACIÓN",10,IF(C88="CONSULTA",30,15))),'[1]DIAS LABORALES'!$A$1:$A$16)</f>
        <v>42466</v>
      </c>
      <c r="I88" s="16">
        <v>42461</v>
      </c>
      <c r="J88" s="16" t="s">
        <v>333</v>
      </c>
      <c r="K88" s="15" t="s">
        <v>351</v>
      </c>
      <c r="L88" s="15" t="s">
        <v>33</v>
      </c>
      <c r="M88" s="15" t="s">
        <v>29</v>
      </c>
      <c r="N88" s="15" t="s">
        <v>111</v>
      </c>
      <c r="O88" s="15" t="s">
        <v>423</v>
      </c>
      <c r="P88" s="15" t="str">
        <f t="shared" si="4"/>
        <v>SUB</v>
      </c>
      <c r="Q88" s="17">
        <f>NETWORKDAYS(G88,I88,('[1]DIAS LABORALES'!$A$1:$A$16))-1</f>
        <v>12</v>
      </c>
      <c r="R88" s="15" t="str">
        <f t="shared" si="5"/>
        <v>Dentro de términos</v>
      </c>
    </row>
    <row r="89" spans="1:18" ht="45" x14ac:dyDescent="0.25">
      <c r="A89" s="15">
        <v>84</v>
      </c>
      <c r="B89" s="15">
        <v>14</v>
      </c>
      <c r="C89" s="15" t="s">
        <v>135</v>
      </c>
      <c r="D89" s="15">
        <v>443342016</v>
      </c>
      <c r="E89" s="15" t="str">
        <f t="shared" si="3"/>
        <v>Atendido</v>
      </c>
      <c r="F89" s="15" t="s">
        <v>27</v>
      </c>
      <c r="G89" s="16">
        <v>42444</v>
      </c>
      <c r="H89" s="16">
        <f>WORKDAY(G89,IF(C89="SOLICITUD DE COPIA",10,IF(C89="SOLICITUD DE INFORMACIÓN",10,IF(C89="CONSULTA",30,15))),'[1]DIAS LABORALES'!$A$1:$A$16)</f>
        <v>42468</v>
      </c>
      <c r="I89" s="16">
        <v>42461</v>
      </c>
      <c r="J89" s="16" t="s">
        <v>392</v>
      </c>
      <c r="K89" s="15" t="s">
        <v>365</v>
      </c>
      <c r="L89" s="15" t="s">
        <v>31</v>
      </c>
      <c r="M89" s="15" t="s">
        <v>78</v>
      </c>
      <c r="N89" s="15" t="s">
        <v>34</v>
      </c>
      <c r="O89" s="15" t="s">
        <v>422</v>
      </c>
      <c r="P89" s="15" t="str">
        <f t="shared" si="4"/>
        <v>SUB</v>
      </c>
      <c r="Q89" s="17">
        <f>NETWORKDAYS(G89,I89,('[1]DIAS LABORALES'!$A$1:$A$16))-1</f>
        <v>10</v>
      </c>
      <c r="R89" s="15" t="str">
        <f t="shared" si="5"/>
        <v>Dentro de términos</v>
      </c>
    </row>
    <row r="90" spans="1:18" ht="45" x14ac:dyDescent="0.25">
      <c r="A90" s="15">
        <v>85</v>
      </c>
      <c r="B90" s="15">
        <v>15</v>
      </c>
      <c r="C90" s="15" t="s">
        <v>135</v>
      </c>
      <c r="D90" s="15">
        <v>450642016</v>
      </c>
      <c r="E90" s="15" t="str">
        <f t="shared" si="3"/>
        <v>Atendido</v>
      </c>
      <c r="F90" s="15" t="s">
        <v>356</v>
      </c>
      <c r="G90" s="16">
        <v>42444</v>
      </c>
      <c r="H90" s="16">
        <f>WORKDAY(G90,IF(C90="SOLICITUD DE COPIA",10,IF(C90="SOLICITUD DE INFORMACIÓN",10,IF(C90="CONSULTA",30,15))),'[1]DIAS LABORALES'!$A$1:$A$16)</f>
        <v>42468</v>
      </c>
      <c r="I90" s="16">
        <v>42446</v>
      </c>
      <c r="J90" s="16" t="s">
        <v>366</v>
      </c>
      <c r="K90" s="15" t="s">
        <v>367</v>
      </c>
      <c r="L90" s="15" t="s">
        <v>31</v>
      </c>
      <c r="M90" s="15" t="s">
        <v>83</v>
      </c>
      <c r="N90" s="15" t="s">
        <v>35</v>
      </c>
      <c r="O90" s="15" t="s">
        <v>406</v>
      </c>
      <c r="P90" s="15" t="str">
        <f t="shared" si="4"/>
        <v>MIS</v>
      </c>
      <c r="Q90" s="17">
        <f>NETWORKDAYS(G90,I90,('[1]DIAS LABORALES'!$A$1:$A$16))-1</f>
        <v>2</v>
      </c>
      <c r="R90" s="15" t="str">
        <f t="shared" si="5"/>
        <v>Dentro de términos</v>
      </c>
    </row>
    <row r="91" spans="1:18" ht="45" x14ac:dyDescent="0.25">
      <c r="A91" s="15">
        <v>86</v>
      </c>
      <c r="B91" s="15">
        <v>16</v>
      </c>
      <c r="C91" s="15" t="s">
        <v>135</v>
      </c>
      <c r="D91" s="15">
        <v>450562016</v>
      </c>
      <c r="E91" s="15" t="str">
        <f t="shared" si="3"/>
        <v>Atendido</v>
      </c>
      <c r="F91" s="15" t="s">
        <v>357</v>
      </c>
      <c r="G91" s="16">
        <v>42444</v>
      </c>
      <c r="H91" s="16">
        <f>WORKDAY(G91,IF(C91="SOLICITUD DE COPIA",10,IF(C91="SOLICITUD DE INFORMACIÓN",10,IF(C91="CONSULTA",30,15))),'[1]DIAS LABORALES'!$A$1:$A$16)</f>
        <v>42468</v>
      </c>
      <c r="I91" s="16">
        <v>42446</v>
      </c>
      <c r="J91" s="16" t="s">
        <v>368</v>
      </c>
      <c r="K91" s="15" t="s">
        <v>367</v>
      </c>
      <c r="L91" s="15" t="s">
        <v>31</v>
      </c>
      <c r="M91" s="15" t="s">
        <v>83</v>
      </c>
      <c r="N91" s="15" t="s">
        <v>35</v>
      </c>
      <c r="O91" s="15" t="s">
        <v>406</v>
      </c>
      <c r="P91" s="15" t="str">
        <f t="shared" si="4"/>
        <v>MIS</v>
      </c>
      <c r="Q91" s="17">
        <f>NETWORKDAYS(G91,I91,('[1]DIAS LABORALES'!$A$1:$A$16))-1</f>
        <v>2</v>
      </c>
      <c r="R91" s="15" t="str">
        <f t="shared" si="5"/>
        <v>Dentro de términos</v>
      </c>
    </row>
    <row r="92" spans="1:18" ht="45" x14ac:dyDescent="0.25">
      <c r="A92" s="15">
        <v>87</v>
      </c>
      <c r="B92" s="15">
        <v>17</v>
      </c>
      <c r="C92" s="15" t="s">
        <v>108</v>
      </c>
      <c r="D92" s="15">
        <v>460552016</v>
      </c>
      <c r="E92" s="15" t="str">
        <f t="shared" si="3"/>
        <v>Atendido</v>
      </c>
      <c r="F92" s="15" t="s">
        <v>342</v>
      </c>
      <c r="G92" s="16">
        <v>42445</v>
      </c>
      <c r="H92" s="16">
        <f>WORKDAY(G92,IF(C92="SOLICITUD DE COPIA",10,IF(C92="SOLICITUD DE INFORMACIÓN",10,IF(C92="CONSULTA",30,15))),'[1]DIAS LABORALES'!$A$1:$A$16)</f>
        <v>42471</v>
      </c>
      <c r="I92" s="16">
        <v>42459</v>
      </c>
      <c r="J92" s="16" t="s">
        <v>345</v>
      </c>
      <c r="K92" s="15" t="s">
        <v>348</v>
      </c>
      <c r="L92" s="15" t="s">
        <v>33</v>
      </c>
      <c r="M92" s="15" t="s">
        <v>29</v>
      </c>
      <c r="N92" s="15" t="s">
        <v>111</v>
      </c>
      <c r="O92" s="15" t="s">
        <v>412</v>
      </c>
      <c r="P92" s="15" t="str">
        <f t="shared" si="4"/>
        <v>SUB</v>
      </c>
      <c r="Q92" s="17">
        <f>NETWORKDAYS(G92,I92,('[1]DIAS LABORALES'!$A$1:$A$16))-1</f>
        <v>7</v>
      </c>
      <c r="R92" s="15" t="str">
        <f t="shared" si="5"/>
        <v>Dentro de términos</v>
      </c>
    </row>
    <row r="93" spans="1:18" ht="45" x14ac:dyDescent="0.25">
      <c r="A93" s="15">
        <v>88</v>
      </c>
      <c r="B93" s="15">
        <v>18</v>
      </c>
      <c r="C93" s="15" t="s">
        <v>108</v>
      </c>
      <c r="D93" s="15">
        <v>460602016</v>
      </c>
      <c r="E93" s="15" t="str">
        <f t="shared" si="3"/>
        <v>Atendido</v>
      </c>
      <c r="F93" s="15" t="s">
        <v>343</v>
      </c>
      <c r="G93" s="16">
        <v>42445</v>
      </c>
      <c r="H93" s="16">
        <f>WORKDAY(G93,IF(C93="SOLICITUD DE COPIA",10,IF(C93="SOLICITUD DE INFORMACIÓN",10,IF(C93="CONSULTA",30,15))),'[1]DIAS LABORALES'!$A$1:$A$16)</f>
        <v>42471</v>
      </c>
      <c r="I93" s="16">
        <v>42459</v>
      </c>
      <c r="J93" s="16" t="s">
        <v>346</v>
      </c>
      <c r="K93" s="15" t="s">
        <v>349</v>
      </c>
      <c r="L93" s="15" t="s">
        <v>33</v>
      </c>
      <c r="M93" s="15" t="s">
        <v>29</v>
      </c>
      <c r="N93" s="15" t="s">
        <v>111</v>
      </c>
      <c r="O93" s="15" t="s">
        <v>413</v>
      </c>
      <c r="P93" s="15" t="str">
        <f t="shared" si="4"/>
        <v>SUB</v>
      </c>
      <c r="Q93" s="17">
        <f>NETWORKDAYS(G93,I93,('[1]DIAS LABORALES'!$A$1:$A$16))-1</f>
        <v>7</v>
      </c>
      <c r="R93" s="15" t="str">
        <f t="shared" si="5"/>
        <v>Dentro de términos</v>
      </c>
    </row>
    <row r="94" spans="1:18" ht="45" x14ac:dyDescent="0.25">
      <c r="A94" s="15">
        <v>89</v>
      </c>
      <c r="B94" s="15">
        <v>19</v>
      </c>
      <c r="C94" s="15" t="s">
        <v>108</v>
      </c>
      <c r="D94" s="15">
        <v>460662016</v>
      </c>
      <c r="E94" s="15" t="str">
        <f t="shared" si="3"/>
        <v>Atendido</v>
      </c>
      <c r="F94" s="15" t="s">
        <v>344</v>
      </c>
      <c r="G94" s="16">
        <v>42445</v>
      </c>
      <c r="H94" s="16">
        <f>WORKDAY(G94,IF(C94="SOLICITUD DE COPIA",10,IF(C94="SOLICITUD DE INFORMACIÓN",10,IF(C94="CONSULTA",30,15))),'[1]DIAS LABORALES'!$A$1:$A$16)</f>
        <v>42471</v>
      </c>
      <c r="I94" s="16">
        <v>42459</v>
      </c>
      <c r="J94" s="16" t="s">
        <v>347</v>
      </c>
      <c r="K94" s="15" t="s">
        <v>350</v>
      </c>
      <c r="L94" s="15" t="s">
        <v>33</v>
      </c>
      <c r="M94" s="15" t="s">
        <v>29</v>
      </c>
      <c r="N94" s="15" t="s">
        <v>35</v>
      </c>
      <c r="O94" s="15" t="s">
        <v>414</v>
      </c>
      <c r="P94" s="15" t="str">
        <f t="shared" si="4"/>
        <v>SUB</v>
      </c>
      <c r="Q94" s="17">
        <f>NETWORKDAYS(G94,I94,('[1]DIAS LABORALES'!$A$1:$A$16))-1</f>
        <v>7</v>
      </c>
      <c r="R94" s="15" t="str">
        <f t="shared" si="5"/>
        <v>Dentro de términos</v>
      </c>
    </row>
    <row r="95" spans="1:18" ht="45" x14ac:dyDescent="0.25">
      <c r="A95" s="15">
        <v>90</v>
      </c>
      <c r="B95" s="15">
        <v>20</v>
      </c>
      <c r="C95" s="15" t="s">
        <v>108</v>
      </c>
      <c r="D95" s="15">
        <v>478462016</v>
      </c>
      <c r="E95" s="15" t="str">
        <f t="shared" si="3"/>
        <v>Atendido</v>
      </c>
      <c r="F95" s="15" t="s">
        <v>358</v>
      </c>
      <c r="G95" s="16">
        <v>42447</v>
      </c>
      <c r="H95" s="16">
        <f>WORKDAY(G95,IF(C95="SOLICITUD DE COPIA",10,IF(C95="SOLICITUD DE INFORMACIÓN",10,IF(C95="CONSULTA",30,15))),'[1]DIAS LABORALES'!$A$1:$A$16)</f>
        <v>42473</v>
      </c>
      <c r="I95" s="16">
        <v>42459</v>
      </c>
      <c r="J95" s="16" t="s">
        <v>369</v>
      </c>
      <c r="K95" s="15" t="s">
        <v>370</v>
      </c>
      <c r="L95" s="15" t="s">
        <v>31</v>
      </c>
      <c r="M95" s="15" t="s">
        <v>29</v>
      </c>
      <c r="N95" s="15" t="s">
        <v>111</v>
      </c>
      <c r="O95" s="15" t="s">
        <v>415</v>
      </c>
      <c r="P95" s="15" t="str">
        <f t="shared" si="4"/>
        <v>SUB</v>
      </c>
      <c r="Q95" s="17">
        <f>NETWORKDAYS(G95,I95,('[1]DIAS LABORALES'!$A$1:$A$16))-1</f>
        <v>5</v>
      </c>
      <c r="R95" s="15" t="str">
        <f t="shared" si="5"/>
        <v>Dentro de términos</v>
      </c>
    </row>
    <row r="96" spans="1:18" ht="30" x14ac:dyDescent="0.25">
      <c r="A96" s="15">
        <v>91</v>
      </c>
      <c r="B96" s="15">
        <v>21</v>
      </c>
      <c r="C96" s="15" t="s">
        <v>108</v>
      </c>
      <c r="D96" s="15">
        <v>478522016</v>
      </c>
      <c r="E96" s="15" t="str">
        <f t="shared" si="3"/>
        <v>Atendido</v>
      </c>
      <c r="F96" s="15" t="s">
        <v>359</v>
      </c>
      <c r="G96" s="16">
        <v>42447</v>
      </c>
      <c r="H96" s="16">
        <f>WORKDAY(G96,IF(C96="SOLICITUD DE COPIA",10,IF(C96="SOLICITUD DE INFORMACIÓN",10,IF(C96="CONSULTA",30,15))),'[1]DIAS LABORALES'!$A$1:$A$16)</f>
        <v>42473</v>
      </c>
      <c r="I96" s="16">
        <v>42447</v>
      </c>
      <c r="J96" s="16" t="s">
        <v>392</v>
      </c>
      <c r="K96" s="15" t="s">
        <v>371</v>
      </c>
      <c r="L96" s="15" t="s">
        <v>372</v>
      </c>
      <c r="M96" s="15" t="s">
        <v>32</v>
      </c>
      <c r="N96" s="15" t="s">
        <v>111</v>
      </c>
      <c r="O96" s="15" t="s">
        <v>373</v>
      </c>
      <c r="P96" s="15" t="str">
        <f t="shared" si="4"/>
        <v>COM</v>
      </c>
      <c r="Q96" s="17">
        <f>NETWORKDAYS(G96,I96,('[1]DIAS LABORALES'!$A$1:$A$16))-1</f>
        <v>0</v>
      </c>
      <c r="R96" s="15" t="str">
        <f t="shared" si="5"/>
        <v>Dentro de términos</v>
      </c>
    </row>
    <row r="97" spans="1:18" ht="45" x14ac:dyDescent="0.25">
      <c r="A97" s="15">
        <v>92</v>
      </c>
      <c r="B97" s="15">
        <v>22</v>
      </c>
      <c r="C97" s="15" t="s">
        <v>108</v>
      </c>
      <c r="D97" s="15">
        <v>478582016</v>
      </c>
      <c r="E97" s="15" t="str">
        <f t="shared" si="3"/>
        <v>Atendido</v>
      </c>
      <c r="F97" s="15" t="s">
        <v>360</v>
      </c>
      <c r="G97" s="16">
        <v>42447</v>
      </c>
      <c r="H97" s="16">
        <f>WORKDAY(G97,IF(C97="SOLICITUD DE COPIA",10,IF(C97="SOLICITUD DE INFORMACIÓN",10,IF(C97="CONSULTA",30,15))),'[1]DIAS LABORALES'!$A$1:$A$16)</f>
        <v>42473</v>
      </c>
      <c r="I97" s="16">
        <v>42447</v>
      </c>
      <c r="J97" s="16" t="s">
        <v>392</v>
      </c>
      <c r="K97" s="15" t="s">
        <v>374</v>
      </c>
      <c r="L97" s="15" t="s">
        <v>300</v>
      </c>
      <c r="M97" s="15" t="s">
        <v>32</v>
      </c>
      <c r="N97" s="15" t="s">
        <v>111</v>
      </c>
      <c r="O97" s="15" t="s">
        <v>375</v>
      </c>
      <c r="P97" s="15" t="str">
        <f t="shared" si="4"/>
        <v>COM</v>
      </c>
      <c r="Q97" s="17">
        <f>NETWORKDAYS(G97,I97,('[1]DIAS LABORALES'!$A$1:$A$16))-1</f>
        <v>0</v>
      </c>
      <c r="R97" s="15" t="str">
        <f t="shared" si="5"/>
        <v>Dentro de términos</v>
      </c>
    </row>
    <row r="98" spans="1:18" ht="45" x14ac:dyDescent="0.25">
      <c r="A98" s="15">
        <v>93</v>
      </c>
      <c r="B98" s="15">
        <v>23</v>
      </c>
      <c r="C98" s="15" t="s">
        <v>107</v>
      </c>
      <c r="D98" s="15">
        <v>478602016</v>
      </c>
      <c r="E98" s="15" t="str">
        <f t="shared" si="3"/>
        <v>Atendido</v>
      </c>
      <c r="F98" s="15" t="s">
        <v>361</v>
      </c>
      <c r="G98" s="16">
        <v>42447</v>
      </c>
      <c r="H98" s="16">
        <f>WORKDAY(G98,IF(C98="SOLICITUD DE COPIA",10,IF(C98="SOLICITUD DE INFORMACIÓN",10,IF(C98="CONSULTA",30,15))),'[1]DIAS LABORALES'!$A$1:$A$16)</f>
        <v>42473</v>
      </c>
      <c r="I98" s="16">
        <v>42459</v>
      </c>
      <c r="J98" s="16" t="s">
        <v>376</v>
      </c>
      <c r="K98" s="15" t="s">
        <v>377</v>
      </c>
      <c r="L98" s="15" t="s">
        <v>31</v>
      </c>
      <c r="M98" s="15" t="s">
        <v>29</v>
      </c>
      <c r="N98" s="15" t="s">
        <v>111</v>
      </c>
      <c r="O98" s="15" t="s">
        <v>416</v>
      </c>
      <c r="P98" s="15" t="str">
        <f t="shared" si="4"/>
        <v>SUB</v>
      </c>
      <c r="Q98" s="17">
        <f>NETWORKDAYS(G98,I98,('[1]DIAS LABORALES'!$A$1:$A$16))-1</f>
        <v>5</v>
      </c>
      <c r="R98" s="15" t="str">
        <f t="shared" si="5"/>
        <v>Dentro de términos</v>
      </c>
    </row>
    <row r="99" spans="1:18" ht="45" x14ac:dyDescent="0.25">
      <c r="A99" s="15">
        <v>94</v>
      </c>
      <c r="B99" s="15">
        <v>24</v>
      </c>
      <c r="C99" s="15" t="s">
        <v>107</v>
      </c>
      <c r="D99" s="15">
        <v>478652016</v>
      </c>
      <c r="E99" s="15" t="str">
        <f t="shared" si="3"/>
        <v>Atendido</v>
      </c>
      <c r="F99" s="15" t="s">
        <v>362</v>
      </c>
      <c r="G99" s="16">
        <v>42447</v>
      </c>
      <c r="H99" s="16">
        <f>WORKDAY(G99,IF(C99="SOLICITUD DE COPIA",10,IF(C99="SOLICITUD DE INFORMACIÓN",10,IF(C99="CONSULTA",30,15))),'[1]DIAS LABORALES'!$A$1:$A$16)</f>
        <v>42473</v>
      </c>
      <c r="I99" s="16">
        <v>42459</v>
      </c>
      <c r="J99" s="16" t="s">
        <v>376</v>
      </c>
      <c r="K99" s="15" t="s">
        <v>378</v>
      </c>
      <c r="L99" s="15" t="s">
        <v>31</v>
      </c>
      <c r="M99" s="15" t="s">
        <v>29</v>
      </c>
      <c r="N99" s="15" t="s">
        <v>111</v>
      </c>
      <c r="O99" s="15" t="s">
        <v>417</v>
      </c>
      <c r="P99" s="15" t="str">
        <f t="shared" si="4"/>
        <v>SUB</v>
      </c>
      <c r="Q99" s="17">
        <f>NETWORKDAYS(G99,I99,('[1]DIAS LABORALES'!$A$1:$A$16))-1</f>
        <v>5</v>
      </c>
      <c r="R99" s="15" t="str">
        <f t="shared" si="5"/>
        <v>Dentro de términos</v>
      </c>
    </row>
    <row r="100" spans="1:18" ht="45" x14ac:dyDescent="0.25">
      <c r="A100" s="15">
        <v>95</v>
      </c>
      <c r="B100" s="15">
        <v>25</v>
      </c>
      <c r="C100" s="15" t="s">
        <v>107</v>
      </c>
      <c r="D100" s="15">
        <v>478902016</v>
      </c>
      <c r="E100" s="15" t="str">
        <f t="shared" si="3"/>
        <v>Atendido</v>
      </c>
      <c r="F100" s="15" t="s">
        <v>363</v>
      </c>
      <c r="G100" s="16">
        <v>42447</v>
      </c>
      <c r="H100" s="16">
        <f>WORKDAY(G100,IF(C100="SOLICITUD DE COPIA",10,IF(C100="SOLICITUD DE INFORMACIÓN",10,IF(C100="CONSULTA",30,15))),'[1]DIAS LABORALES'!$A$1:$A$16)</f>
        <v>42473</v>
      </c>
      <c r="I100" s="16">
        <v>42459</v>
      </c>
      <c r="J100" s="16" t="s">
        <v>379</v>
      </c>
      <c r="K100" s="15" t="s">
        <v>380</v>
      </c>
      <c r="L100" s="15" t="s">
        <v>31</v>
      </c>
      <c r="M100" s="15" t="s">
        <v>29</v>
      </c>
      <c r="N100" s="15" t="s">
        <v>111</v>
      </c>
      <c r="O100" s="15" t="s">
        <v>418</v>
      </c>
      <c r="P100" s="15" t="str">
        <f t="shared" si="4"/>
        <v>SUB</v>
      </c>
      <c r="Q100" s="17">
        <f>NETWORKDAYS(G100,I100,('[1]DIAS LABORALES'!$A$1:$A$16))-1</f>
        <v>5</v>
      </c>
      <c r="R100" s="15" t="str">
        <f t="shared" si="5"/>
        <v>Dentro de términos</v>
      </c>
    </row>
    <row r="101" spans="1:18" ht="45" x14ac:dyDescent="0.25">
      <c r="A101" s="15">
        <v>96</v>
      </c>
      <c r="B101" s="15">
        <v>26</v>
      </c>
      <c r="C101" s="15" t="s">
        <v>107</v>
      </c>
      <c r="D101" s="15">
        <v>478982016</v>
      </c>
      <c r="E101" s="15" t="str">
        <f t="shared" si="3"/>
        <v>Atendido</v>
      </c>
      <c r="F101" s="15" t="s">
        <v>364</v>
      </c>
      <c r="G101" s="16">
        <v>42447</v>
      </c>
      <c r="H101" s="16">
        <f>WORKDAY(G101,IF(C101="SOLICITUD DE COPIA",10,IF(C101="SOLICITUD DE INFORMACIÓN",10,IF(C101="CONSULTA",30,15))),'[1]DIAS LABORALES'!$A$1:$A$16)</f>
        <v>42473</v>
      </c>
      <c r="I101" s="16">
        <v>42459</v>
      </c>
      <c r="J101" s="16" t="s">
        <v>381</v>
      </c>
      <c r="K101" s="15" t="s">
        <v>382</v>
      </c>
      <c r="L101" s="15" t="s">
        <v>31</v>
      </c>
      <c r="M101" s="15" t="s">
        <v>29</v>
      </c>
      <c r="N101" s="15" t="s">
        <v>111</v>
      </c>
      <c r="O101" s="15" t="s">
        <v>419</v>
      </c>
      <c r="P101" s="15" t="str">
        <f t="shared" si="4"/>
        <v>SUB</v>
      </c>
      <c r="Q101" s="17">
        <f>NETWORKDAYS(G101,I101,('[1]DIAS LABORALES'!$A$1:$A$16))-1</f>
        <v>5</v>
      </c>
      <c r="R101" s="15" t="str">
        <f t="shared" si="5"/>
        <v>Dentro de términos</v>
      </c>
    </row>
    <row r="102" spans="1:18" ht="45" x14ac:dyDescent="0.25">
      <c r="A102" s="15">
        <v>97</v>
      </c>
      <c r="B102" s="15">
        <v>27</v>
      </c>
      <c r="C102" s="15" t="s">
        <v>72</v>
      </c>
      <c r="D102" s="15">
        <v>488412016</v>
      </c>
      <c r="E102" s="15" t="str">
        <f t="shared" si="3"/>
        <v>Atendido</v>
      </c>
      <c r="F102" s="15" t="s">
        <v>383</v>
      </c>
      <c r="G102" s="16">
        <v>42451</v>
      </c>
      <c r="H102" s="16">
        <f>WORKDAY(G102,IF(C102="SOLICITUD DE COPIA",10,IF(C102="SOLICITUD DE INFORMACIÓN",10,IF(C102="CONSULTA",30,15))),'[1]DIAS LABORALES'!$A$1:$A$16)</f>
        <v>42474</v>
      </c>
      <c r="I102" s="16">
        <v>42472</v>
      </c>
      <c r="J102" s="16" t="s">
        <v>260</v>
      </c>
      <c r="K102" s="15" t="s">
        <v>384</v>
      </c>
      <c r="L102" s="15" t="s">
        <v>177</v>
      </c>
      <c r="M102" s="15" t="s">
        <v>29</v>
      </c>
      <c r="N102" s="15" t="s">
        <v>35</v>
      </c>
      <c r="O102" s="15" t="s">
        <v>457</v>
      </c>
      <c r="P102" s="15" t="str">
        <f t="shared" si="4"/>
        <v>SUB</v>
      </c>
      <c r="Q102" s="17">
        <f>NETWORKDAYS(G102,I102,('[1]DIAS LABORALES'!$A$1:$A$16))-1</f>
        <v>13</v>
      </c>
      <c r="R102" s="15" t="str">
        <f t="shared" si="5"/>
        <v>Dentro de términos</v>
      </c>
    </row>
    <row r="103" spans="1:18" ht="45" x14ac:dyDescent="0.25">
      <c r="A103" s="15">
        <v>98</v>
      </c>
      <c r="B103" s="15">
        <v>28</v>
      </c>
      <c r="C103" s="15" t="s">
        <v>136</v>
      </c>
      <c r="D103" s="15">
        <v>499782016</v>
      </c>
      <c r="E103" s="15" t="str">
        <f t="shared" si="3"/>
        <v>Atendido</v>
      </c>
      <c r="F103" s="15" t="s">
        <v>389</v>
      </c>
      <c r="G103" s="16">
        <v>42452</v>
      </c>
      <c r="H103" s="16">
        <f>WORKDAY(G103,IF(C103="SOLICITUD DE COPIA",10,IF(C103="SOLICITUD DE INFORMACIÓN",10,IF(C103="CONSULTA",30,15))),'[1]DIAS LABORALES'!$A$1:$A$16)</f>
        <v>42475</v>
      </c>
      <c r="I103" s="16">
        <v>42467</v>
      </c>
      <c r="J103" s="16" t="s">
        <v>390</v>
      </c>
      <c r="K103" s="15" t="s">
        <v>391</v>
      </c>
      <c r="L103" s="15" t="s">
        <v>31</v>
      </c>
      <c r="M103" s="15" t="s">
        <v>29</v>
      </c>
      <c r="N103" s="15" t="s">
        <v>35</v>
      </c>
      <c r="O103" s="15" t="s">
        <v>424</v>
      </c>
      <c r="P103" s="15" t="str">
        <f t="shared" si="4"/>
        <v>SUB</v>
      </c>
      <c r="Q103" s="17">
        <f>NETWORKDAYS(G103,I103,('[1]DIAS LABORALES'!$A$1:$A$16))-1</f>
        <v>9</v>
      </c>
      <c r="R103" s="15" t="str">
        <f t="shared" si="5"/>
        <v>Dentro de términos</v>
      </c>
    </row>
    <row r="104" spans="1:18" ht="90" x14ac:dyDescent="0.25">
      <c r="A104" s="15">
        <v>99</v>
      </c>
      <c r="B104" s="15">
        <v>29</v>
      </c>
      <c r="C104" s="15" t="s">
        <v>72</v>
      </c>
      <c r="D104" s="15">
        <v>479652016</v>
      </c>
      <c r="E104" s="15" t="str">
        <f t="shared" si="3"/>
        <v>Atendido</v>
      </c>
      <c r="F104" s="15" t="s">
        <v>27</v>
      </c>
      <c r="G104" s="16">
        <v>42452</v>
      </c>
      <c r="H104" s="16">
        <f>WORKDAY(G104,IF(C104="SOLICITUD DE COPIA",10,IF(C104="SOLICITUD DE INFORMACIÓN",10,IF(C104="CONSULTA",30,15))),'[1]DIAS LABORALES'!$A$1:$A$16)</f>
        <v>42475</v>
      </c>
      <c r="I104" s="16">
        <v>42465</v>
      </c>
      <c r="J104" s="16" t="s">
        <v>392</v>
      </c>
      <c r="K104" s="15" t="s">
        <v>407</v>
      </c>
      <c r="L104" s="15" t="s">
        <v>177</v>
      </c>
      <c r="M104" s="15" t="s">
        <v>78</v>
      </c>
      <c r="N104" s="15" t="s">
        <v>34</v>
      </c>
      <c r="O104" s="15" t="s">
        <v>425</v>
      </c>
      <c r="P104" s="15" t="str">
        <f t="shared" si="4"/>
        <v>SUB</v>
      </c>
      <c r="Q104" s="17">
        <f>NETWORKDAYS(G104,I104,('[1]DIAS LABORALES'!$A$1:$A$16))-1</f>
        <v>7</v>
      </c>
      <c r="R104" s="15" t="str">
        <f t="shared" si="5"/>
        <v>Dentro de términos</v>
      </c>
    </row>
    <row r="105" spans="1:18" ht="45" x14ac:dyDescent="0.25">
      <c r="A105" s="15">
        <v>100</v>
      </c>
      <c r="B105" s="15">
        <v>30</v>
      </c>
      <c r="C105" s="15" t="s">
        <v>135</v>
      </c>
      <c r="D105" s="15">
        <v>512562016</v>
      </c>
      <c r="E105" s="15" t="str">
        <f t="shared" si="3"/>
        <v>Atendido</v>
      </c>
      <c r="F105" s="15" t="s">
        <v>393</v>
      </c>
      <c r="G105" s="16">
        <v>42458</v>
      </c>
      <c r="H105" s="16">
        <f>WORKDAY(G105,IF(C105="SOLICITUD DE COPIA",10,IF(C105="SOLICITUD DE INFORMACIÓN",10,IF(C105="CONSULTA",30,15))),'[1]DIAS LABORALES'!$A$1:$A$16)</f>
        <v>42479</v>
      </c>
      <c r="I105" s="16">
        <v>42478</v>
      </c>
      <c r="J105" s="16" t="s">
        <v>394</v>
      </c>
      <c r="K105" s="15" t="s">
        <v>395</v>
      </c>
      <c r="L105" s="15" t="s">
        <v>31</v>
      </c>
      <c r="M105" s="15" t="s">
        <v>77</v>
      </c>
      <c r="N105" s="15" t="s">
        <v>35</v>
      </c>
      <c r="O105" s="15" t="s">
        <v>455</v>
      </c>
      <c r="P105" s="15" t="str">
        <f t="shared" si="4"/>
        <v>JUR</v>
      </c>
      <c r="Q105" s="17">
        <f>NETWORKDAYS(G105,I105,('[1]DIAS LABORALES'!$A$1:$A$16))-1</f>
        <v>14</v>
      </c>
      <c r="R105" s="15" t="str">
        <f t="shared" si="5"/>
        <v>Dentro de términos</v>
      </c>
    </row>
    <row r="106" spans="1:18" ht="45" x14ac:dyDescent="0.25">
      <c r="A106" s="15">
        <v>101</v>
      </c>
      <c r="B106" s="15">
        <v>31</v>
      </c>
      <c r="C106" s="15" t="s">
        <v>135</v>
      </c>
      <c r="D106" s="15">
        <v>518712016</v>
      </c>
      <c r="E106" s="15" t="str">
        <f t="shared" si="3"/>
        <v>Atendido</v>
      </c>
      <c r="F106" s="15" t="s">
        <v>397</v>
      </c>
      <c r="G106" s="16">
        <v>42458</v>
      </c>
      <c r="H106" s="16">
        <f>WORKDAY(G106,IF(C106="SOLICITUD DE COPIA",10,IF(C106="SOLICITUD DE INFORMACIÓN",10,IF(C106="CONSULTA",30,15))),'[1]DIAS LABORALES'!$A$1:$A$16)</f>
        <v>42479</v>
      </c>
      <c r="I106" s="16">
        <v>42478</v>
      </c>
      <c r="J106" s="16" t="s">
        <v>401</v>
      </c>
      <c r="K106" s="15" t="s">
        <v>402</v>
      </c>
      <c r="L106" s="15" t="s">
        <v>31</v>
      </c>
      <c r="M106" s="15" t="s">
        <v>29</v>
      </c>
      <c r="N106" s="15" t="s">
        <v>35</v>
      </c>
      <c r="O106" s="15" t="s">
        <v>454</v>
      </c>
      <c r="P106" s="15" t="str">
        <f t="shared" si="4"/>
        <v>SUB</v>
      </c>
      <c r="Q106" s="17">
        <f>NETWORKDAYS(G106,I106,('[1]DIAS LABORALES'!$A$1:$A$16))-1</f>
        <v>14</v>
      </c>
      <c r="R106" s="15" t="str">
        <f t="shared" si="5"/>
        <v>Dentro de términos</v>
      </c>
    </row>
    <row r="107" spans="1:18" ht="45" x14ac:dyDescent="0.25">
      <c r="A107" s="15">
        <v>102</v>
      </c>
      <c r="B107" s="15">
        <v>32</v>
      </c>
      <c r="C107" s="15" t="s">
        <v>135</v>
      </c>
      <c r="D107" s="15">
        <v>518802016</v>
      </c>
      <c r="E107" s="15" t="str">
        <f t="shared" si="3"/>
        <v>Atendido</v>
      </c>
      <c r="F107" s="15" t="s">
        <v>398</v>
      </c>
      <c r="G107" s="16">
        <v>42458</v>
      </c>
      <c r="H107" s="16">
        <f>WORKDAY(G107,IF(C107="SOLICITUD DE COPIA",10,IF(C107="SOLICITUD DE INFORMACIÓN",10,IF(C107="CONSULTA",30,15))),'[1]DIAS LABORALES'!$A$1:$A$16)</f>
        <v>42479</v>
      </c>
      <c r="I107" s="16">
        <v>42468</v>
      </c>
      <c r="J107" s="16" t="s">
        <v>401</v>
      </c>
      <c r="K107" s="15" t="s">
        <v>402</v>
      </c>
      <c r="L107" s="15" t="s">
        <v>31</v>
      </c>
      <c r="M107" s="15" t="s">
        <v>29</v>
      </c>
      <c r="N107" s="15" t="s">
        <v>35</v>
      </c>
      <c r="O107" s="15" t="s">
        <v>458</v>
      </c>
      <c r="P107" s="15" t="str">
        <f t="shared" si="4"/>
        <v>SUB</v>
      </c>
      <c r="Q107" s="17">
        <f>NETWORKDAYS(G107,I107,('[1]DIAS LABORALES'!$A$1:$A$16))-1</f>
        <v>8</v>
      </c>
      <c r="R107" s="15" t="str">
        <f t="shared" si="5"/>
        <v>Dentro de términos</v>
      </c>
    </row>
    <row r="108" spans="1:18" ht="45" x14ac:dyDescent="0.25">
      <c r="A108" s="15">
        <v>103</v>
      </c>
      <c r="B108" s="15">
        <v>33</v>
      </c>
      <c r="C108" s="15" t="s">
        <v>135</v>
      </c>
      <c r="D108" s="15">
        <v>518832016</v>
      </c>
      <c r="E108" s="15" t="str">
        <f t="shared" si="3"/>
        <v>Atendido</v>
      </c>
      <c r="F108" s="15" t="s">
        <v>399</v>
      </c>
      <c r="G108" s="16">
        <v>42458</v>
      </c>
      <c r="H108" s="16">
        <f>WORKDAY(G108,IF(C108="SOLICITUD DE COPIA",10,IF(C108="SOLICITUD DE INFORMACIÓN",10,IF(C108="CONSULTA",30,15))),'[1]DIAS LABORALES'!$A$1:$A$16)</f>
        <v>42479</v>
      </c>
      <c r="I108" s="16">
        <v>42466</v>
      </c>
      <c r="J108" s="16" t="s">
        <v>401</v>
      </c>
      <c r="K108" s="15" t="s">
        <v>403</v>
      </c>
      <c r="L108" s="15" t="s">
        <v>31</v>
      </c>
      <c r="M108" s="15" t="s">
        <v>29</v>
      </c>
      <c r="N108" s="15" t="s">
        <v>35</v>
      </c>
      <c r="O108" s="15" t="s">
        <v>459</v>
      </c>
      <c r="P108" s="15" t="str">
        <f t="shared" si="4"/>
        <v>SUB</v>
      </c>
      <c r="Q108" s="17">
        <f>NETWORKDAYS(G108,I108,('[1]DIAS LABORALES'!$A$1:$A$16))-1</f>
        <v>6</v>
      </c>
      <c r="R108" s="15" t="str">
        <f t="shared" si="5"/>
        <v>Dentro de términos</v>
      </c>
    </row>
    <row r="109" spans="1:18" ht="45" x14ac:dyDescent="0.25">
      <c r="A109" s="15">
        <v>104</v>
      </c>
      <c r="B109" s="15">
        <v>34</v>
      </c>
      <c r="C109" s="15" t="s">
        <v>135</v>
      </c>
      <c r="D109" s="15">
        <v>518872016</v>
      </c>
      <c r="E109" s="15" t="str">
        <f t="shared" si="3"/>
        <v>Atendido</v>
      </c>
      <c r="F109" s="15" t="s">
        <v>400</v>
      </c>
      <c r="G109" s="16">
        <v>42458</v>
      </c>
      <c r="H109" s="16">
        <f>WORKDAY(G109,IF(C109="SOLICITUD DE COPIA",10,IF(C109="SOLICITUD DE INFORMACIÓN",10,IF(C109="CONSULTA",30,15))),'[1]DIAS LABORALES'!$A$1:$A$16)</f>
        <v>42479</v>
      </c>
      <c r="I109" s="16">
        <v>42468</v>
      </c>
      <c r="J109" s="16" t="s">
        <v>401</v>
      </c>
      <c r="K109" s="15" t="s">
        <v>404</v>
      </c>
      <c r="L109" s="15" t="s">
        <v>31</v>
      </c>
      <c r="M109" s="15" t="s">
        <v>29</v>
      </c>
      <c r="N109" s="15" t="s">
        <v>35</v>
      </c>
      <c r="O109" s="15" t="s">
        <v>460</v>
      </c>
      <c r="P109" s="15" t="str">
        <f t="shared" si="4"/>
        <v>SUB</v>
      </c>
      <c r="Q109" s="17">
        <f>NETWORKDAYS(G109,I109,('[1]DIAS LABORALES'!$A$1:$A$16))-1</f>
        <v>8</v>
      </c>
      <c r="R109" s="15" t="str">
        <f t="shared" si="5"/>
        <v>Dentro de términos</v>
      </c>
    </row>
    <row r="110" spans="1:18" x14ac:dyDescent="0.25">
      <c r="A110" s="25"/>
      <c r="B110" s="25"/>
      <c r="C110" s="25"/>
      <c r="D110" s="25"/>
      <c r="E110" s="25"/>
      <c r="F110" s="25"/>
      <c r="G110" s="26"/>
      <c r="H110" s="26"/>
      <c r="I110" s="26"/>
      <c r="J110" s="26"/>
      <c r="K110" s="25"/>
      <c r="L110" s="25"/>
      <c r="M110" s="25"/>
      <c r="N110" s="25"/>
      <c r="O110" s="25"/>
      <c r="P110" s="25"/>
      <c r="Q110" s="27"/>
      <c r="R110" s="25"/>
    </row>
    <row r="111" spans="1:18" x14ac:dyDescent="0.25">
      <c r="B111" s="8"/>
      <c r="C111" s="8"/>
      <c r="F111" s="14">
        <v>117</v>
      </c>
    </row>
    <row r="112" spans="1:18" x14ac:dyDescent="0.25">
      <c r="B112" s="8"/>
      <c r="C112" s="9"/>
      <c r="D112" s="3" t="s">
        <v>36</v>
      </c>
      <c r="E112" s="3" t="s">
        <v>37</v>
      </c>
      <c r="F112" s="3" t="s">
        <v>54</v>
      </c>
      <c r="G112" s="3" t="s">
        <v>38</v>
      </c>
    </row>
    <row r="113" spans="3:11" ht="18.75" x14ac:dyDescent="0.25">
      <c r="C113" s="4" t="s">
        <v>39</v>
      </c>
      <c r="D113" s="144">
        <f>COUNTA(C6:C39)</f>
        <v>34</v>
      </c>
      <c r="E113" s="5"/>
      <c r="F113" s="149">
        <f>SUM(D113:D115)</f>
        <v>104</v>
      </c>
      <c r="G113" s="150">
        <f>(F113-F111)/F111</f>
        <v>-0.1111111111111111</v>
      </c>
    </row>
    <row r="114" spans="3:11" ht="18.75" x14ac:dyDescent="0.25">
      <c r="C114" s="4" t="s">
        <v>40</v>
      </c>
      <c r="D114" s="144">
        <f>COUNTA(C40:C75)</f>
        <v>36</v>
      </c>
      <c r="E114" s="144">
        <f>D113+D114</f>
        <v>70</v>
      </c>
      <c r="F114" s="149"/>
      <c r="G114" s="150"/>
    </row>
    <row r="115" spans="3:11" ht="18.75" x14ac:dyDescent="0.25">
      <c r="C115" s="4" t="s">
        <v>41</v>
      </c>
      <c r="D115" s="144">
        <f>COUNTA(C76:C109)</f>
        <v>34</v>
      </c>
      <c r="E115" s="144">
        <f t="shared" ref="E115:E124" si="6">E114+D115</f>
        <v>104</v>
      </c>
      <c r="F115" s="149"/>
      <c r="G115" s="150"/>
    </row>
    <row r="116" spans="3:11" ht="18.75" x14ac:dyDescent="0.25">
      <c r="C116" s="4" t="s">
        <v>42</v>
      </c>
      <c r="D116" s="144">
        <f>COUNTA(#REF!)</f>
        <v>1</v>
      </c>
      <c r="E116" s="144">
        <f t="shared" si="6"/>
        <v>105</v>
      </c>
      <c r="F116" s="149">
        <f>SUM(D116:D118)</f>
        <v>1</v>
      </c>
      <c r="G116" s="150">
        <f>(F116-F113)/F113</f>
        <v>-0.99038461538461542</v>
      </c>
    </row>
    <row r="117" spans="3:11" ht="18.75" x14ac:dyDescent="0.25">
      <c r="C117" s="4" t="s">
        <v>43</v>
      </c>
      <c r="D117" s="144"/>
      <c r="E117" s="144">
        <f t="shared" si="6"/>
        <v>105</v>
      </c>
      <c r="F117" s="149"/>
      <c r="G117" s="150"/>
    </row>
    <row r="118" spans="3:11" ht="18.75" x14ac:dyDescent="0.25">
      <c r="C118" s="4" t="s">
        <v>44</v>
      </c>
      <c r="D118" s="144"/>
      <c r="E118" s="144">
        <f t="shared" si="6"/>
        <v>105</v>
      </c>
      <c r="F118" s="149"/>
      <c r="G118" s="150"/>
    </row>
    <row r="119" spans="3:11" ht="18.75" x14ac:dyDescent="0.25">
      <c r="C119" s="4" t="s">
        <v>45</v>
      </c>
      <c r="D119" s="144"/>
      <c r="E119" s="144">
        <f t="shared" si="6"/>
        <v>105</v>
      </c>
      <c r="F119" s="149">
        <f>SUM(D119:D121)</f>
        <v>0</v>
      </c>
      <c r="G119" s="150">
        <f>(F119-F116)/F116</f>
        <v>-1</v>
      </c>
    </row>
    <row r="120" spans="3:11" ht="18.75" x14ac:dyDescent="0.25">
      <c r="C120" s="4" t="s">
        <v>46</v>
      </c>
      <c r="D120" s="144"/>
      <c r="E120" s="144">
        <f t="shared" si="6"/>
        <v>105</v>
      </c>
      <c r="F120" s="149"/>
      <c r="G120" s="150"/>
    </row>
    <row r="121" spans="3:11" ht="18.75" x14ac:dyDescent="0.25">
      <c r="C121" s="4" t="s">
        <v>47</v>
      </c>
      <c r="D121" s="144"/>
      <c r="E121" s="144">
        <f t="shared" si="6"/>
        <v>105</v>
      </c>
      <c r="F121" s="149"/>
      <c r="G121" s="150"/>
    </row>
    <row r="122" spans="3:11" ht="18.75" x14ac:dyDescent="0.25">
      <c r="C122" s="4" t="s">
        <v>48</v>
      </c>
      <c r="D122" s="144"/>
      <c r="E122" s="144">
        <f t="shared" si="6"/>
        <v>105</v>
      </c>
      <c r="F122" s="149">
        <f>SUM(D122:D124)</f>
        <v>0</v>
      </c>
      <c r="G122" s="150" t="e">
        <f>(F122-F119)/F119</f>
        <v>#DIV/0!</v>
      </c>
    </row>
    <row r="123" spans="3:11" ht="18.75" x14ac:dyDescent="0.25">
      <c r="C123" s="4" t="s">
        <v>49</v>
      </c>
      <c r="D123" s="144"/>
      <c r="E123" s="144">
        <f t="shared" si="6"/>
        <v>105</v>
      </c>
      <c r="F123" s="149"/>
      <c r="G123" s="150"/>
      <c r="K123" s="10"/>
    </row>
    <row r="124" spans="3:11" ht="18.75" x14ac:dyDescent="0.25">
      <c r="C124" s="4" t="s">
        <v>50</v>
      </c>
      <c r="D124" s="144"/>
      <c r="E124" s="144">
        <f t="shared" si="6"/>
        <v>105</v>
      </c>
      <c r="F124" s="149"/>
      <c r="G124" s="150"/>
    </row>
    <row r="125" spans="3:11" ht="30" x14ac:dyDescent="0.25">
      <c r="C125" s="6" t="s">
        <v>51</v>
      </c>
      <c r="D125" s="7">
        <f>SUM(D113:D124)</f>
        <v>105</v>
      </c>
      <c r="E125" s="5"/>
      <c r="F125" s="7">
        <f>SUM(F113:F124)</f>
        <v>105</v>
      </c>
      <c r="G125" s="5"/>
    </row>
  </sheetData>
  <sheetProtection password="EA31" sheet="1" objects="1" scenarios="1"/>
  <autoFilter ref="A5:R109"/>
  <mergeCells count="17">
    <mergeCell ref="A1:D4"/>
    <mergeCell ref="E1:F2"/>
    <mergeCell ref="G1:N2"/>
    <mergeCell ref="P1:R1"/>
    <mergeCell ref="P2:R2"/>
    <mergeCell ref="E3:F4"/>
    <mergeCell ref="G3:N4"/>
    <mergeCell ref="P3:R3"/>
    <mergeCell ref="P4:R4"/>
    <mergeCell ref="F122:F124"/>
    <mergeCell ref="G122:G124"/>
    <mergeCell ref="F113:F115"/>
    <mergeCell ref="G113:G115"/>
    <mergeCell ref="F116:F118"/>
    <mergeCell ref="G116:G118"/>
    <mergeCell ref="F119:F121"/>
    <mergeCell ref="G119:G121"/>
  </mergeCells>
  <dataValidations disablePrompts="1" count="4">
    <dataValidation type="list" allowBlank="1" showInputMessage="1" showErrorMessage="1" errorTitle="ALERTA" error="Tipificación de servicio no valido" sqref="L1:L1048576">
      <formula1>"TEMAS MISIONALES UPIS,TEMAS ADMINISTRATIVOS,SOLICITUD DE INTERVENCION,TEMAS ADMINISTRATIVOS CONVENIOS,FUNCIONARIO Y/O TRABAJADOR PUBLICO,ALIMENTACIÓN,AGRADECIMIENTO POR SERVICIOS PRESTADOS,APOYO SOSTENIMIENTO,JÓVENES EN PAZ"</formula1>
    </dataValidation>
    <dataValidation type="list" allowBlank="1" showInputMessage="1" showErrorMessage="1" errorTitle="ALERTA" error="Tipo de requerimiento no valido" sqref="C1:C1048576">
      <formula1>"DENUNCIA,FELICITACIÓN,PETICIÓN INTERÉS PARTICULAR, PETICIÓN INTERÉS GENERAL,QUEJA,RECLAMO,SOLICITUD DE COPIA,SOLICITUD DE INFORMACIÓN,SUGERENCIA,CONSULTA"</formula1>
    </dataValidation>
    <dataValidation type="list" allowBlank="1" showInputMessage="1" showErrorMessage="1" errorTitle="ALERTA" error="Usuario no valido" sqref="M6:M1048576">
      <formula1>"PLANEACION,SUBFINANCIERA,JURIDICA,DIRECCION,BAÑOS PUBLICOS,MISION BOGOTA,DESARROLLO HUMANO,COMEDORES,SUBMETODOS"</formula1>
    </dataValidation>
    <dataValidation type="list" allowBlank="1" showInputMessage="1" showErrorMessage="1" errorTitle="ALERTA" error="Tipo de canal no valido" sqref="N6:N110">
      <formula1>"TELEFONICO,WEB,ESCRITO,BUZÓN"</formula1>
    </dataValidation>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54" id="{CCF7D12C-8178-4EE9-9B42-6C3E6E7E7E9E}">
            <x14:iconSet iconSet="3Symbols" custom="1">
              <x14:cfvo type="percent">
                <xm:f>0</xm:f>
              </x14:cfvo>
              <x14:cfvo type="num">
                <xm:f>15</xm:f>
              </x14:cfvo>
              <x14:cfvo type="num">
                <xm:f>16</xm:f>
              </x14:cfvo>
              <x14:cfIcon iconSet="3Symbols" iconId="2"/>
              <x14:cfIcon iconSet="3Symbols" iconId="1"/>
              <x14:cfIcon iconSet="3Symbols" iconId="0"/>
            </x14:iconSet>
          </x14:cfRule>
          <xm:sqref>Q6:Q109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9"/>
  <sheetViews>
    <sheetView topLeftCell="H1" zoomScale="70" zoomScaleNormal="70" workbookViewId="0">
      <pane ySplit="5" topLeftCell="A6" activePane="bottomLeft" state="frozen"/>
      <selection pane="bottomLeft" activeCell="Q117" sqref="Q117"/>
    </sheetView>
  </sheetViews>
  <sheetFormatPr baseColWidth="10" defaultRowHeight="15" x14ac:dyDescent="0.25"/>
  <cols>
    <col min="1" max="1" width="5" customWidth="1"/>
    <col min="2" max="2" width="4.140625" customWidth="1"/>
    <col min="3" max="3" width="16.5703125" customWidth="1"/>
    <col min="4" max="4" width="13.7109375" customWidth="1"/>
    <col min="5" max="5" width="14.5703125" customWidth="1"/>
    <col min="6" max="6" width="13.140625" customWidth="1"/>
    <col min="7" max="7" width="12" customWidth="1"/>
    <col min="8" max="8" width="12.5703125" customWidth="1"/>
    <col min="9" max="9" width="12.140625" customWidth="1"/>
    <col min="10" max="10" width="22.42578125" customWidth="1"/>
    <col min="11" max="11" width="99.5703125" customWidth="1"/>
    <col min="12" max="12" width="26.28515625" customWidth="1"/>
    <col min="13" max="13" width="17.28515625" customWidth="1"/>
    <col min="14" max="14" width="14.28515625" bestFit="1" customWidth="1"/>
    <col min="15" max="15" width="28.5703125" customWidth="1"/>
    <col min="16" max="16" width="9" customWidth="1"/>
    <col min="17" max="17" width="10.7109375" customWidth="1"/>
    <col min="18" max="18" width="13.5703125" customWidth="1"/>
  </cols>
  <sheetData>
    <row r="1" spans="1:18" ht="19.5" customHeight="1" x14ac:dyDescent="0.25">
      <c r="A1" s="151"/>
      <c r="B1" s="151"/>
      <c r="C1" s="151"/>
      <c r="D1" s="151"/>
      <c r="E1" s="153" t="s">
        <v>0</v>
      </c>
      <c r="F1" s="154"/>
      <c r="G1" s="153" t="s">
        <v>1</v>
      </c>
      <c r="H1" s="157"/>
      <c r="I1" s="157"/>
      <c r="J1" s="157"/>
      <c r="K1" s="157"/>
      <c r="L1" s="157"/>
      <c r="M1" s="157"/>
      <c r="N1" s="154"/>
      <c r="O1" s="11" t="s">
        <v>2</v>
      </c>
      <c r="P1" s="153" t="s">
        <v>3</v>
      </c>
      <c r="Q1" s="157"/>
      <c r="R1" s="154"/>
    </row>
    <row r="2" spans="1:18" ht="19.5" customHeight="1" x14ac:dyDescent="0.25">
      <c r="A2" s="151"/>
      <c r="B2" s="151"/>
      <c r="C2" s="151"/>
      <c r="D2" s="151"/>
      <c r="E2" s="155"/>
      <c r="F2" s="156"/>
      <c r="G2" s="155"/>
      <c r="H2" s="158"/>
      <c r="I2" s="158"/>
      <c r="J2" s="158"/>
      <c r="K2" s="158"/>
      <c r="L2" s="158"/>
      <c r="M2" s="158"/>
      <c r="N2" s="156"/>
      <c r="O2" s="11" t="s">
        <v>4</v>
      </c>
      <c r="P2" s="159" t="s">
        <v>5</v>
      </c>
      <c r="Q2" s="160"/>
      <c r="R2" s="161"/>
    </row>
    <row r="3" spans="1:18" ht="19.5" customHeight="1" x14ac:dyDescent="0.25">
      <c r="A3" s="151"/>
      <c r="B3" s="151"/>
      <c r="C3" s="151"/>
      <c r="D3" s="151"/>
      <c r="E3" s="162" t="s">
        <v>6</v>
      </c>
      <c r="F3" s="162"/>
      <c r="G3" s="153" t="s">
        <v>7</v>
      </c>
      <c r="H3" s="157"/>
      <c r="I3" s="157"/>
      <c r="J3" s="157"/>
      <c r="K3" s="157"/>
      <c r="L3" s="157"/>
      <c r="M3" s="157"/>
      <c r="N3" s="154"/>
      <c r="O3" s="11" t="s">
        <v>8</v>
      </c>
      <c r="P3" s="167" t="s">
        <v>9</v>
      </c>
      <c r="Q3" s="168"/>
      <c r="R3" s="169"/>
    </row>
    <row r="4" spans="1:18" ht="19.5" customHeight="1" x14ac:dyDescent="0.25">
      <c r="A4" s="152"/>
      <c r="B4" s="152"/>
      <c r="C4" s="152"/>
      <c r="D4" s="152"/>
      <c r="E4" s="163"/>
      <c r="F4" s="163"/>
      <c r="G4" s="164"/>
      <c r="H4" s="165"/>
      <c r="I4" s="165"/>
      <c r="J4" s="165"/>
      <c r="K4" s="165"/>
      <c r="L4" s="165"/>
      <c r="M4" s="165"/>
      <c r="N4" s="166"/>
      <c r="O4" s="12" t="s">
        <v>10</v>
      </c>
      <c r="P4" s="170">
        <v>41935</v>
      </c>
      <c r="Q4" s="171"/>
      <c r="R4" s="172"/>
    </row>
    <row r="5" spans="1:18" ht="33.75" x14ac:dyDescent="0.25">
      <c r="A5" s="1" t="s">
        <v>11</v>
      </c>
      <c r="B5" s="1" t="s">
        <v>12</v>
      </c>
      <c r="C5" s="1" t="s">
        <v>13</v>
      </c>
      <c r="D5" s="1" t="s">
        <v>14</v>
      </c>
      <c r="E5" s="1" t="s">
        <v>15</v>
      </c>
      <c r="F5" s="1" t="s">
        <v>16</v>
      </c>
      <c r="G5" s="1" t="s">
        <v>17</v>
      </c>
      <c r="H5" s="1" t="s">
        <v>18</v>
      </c>
      <c r="I5" s="1" t="s">
        <v>19</v>
      </c>
      <c r="J5" s="1" t="s">
        <v>55</v>
      </c>
      <c r="K5" s="1" t="s">
        <v>20</v>
      </c>
      <c r="L5" s="1" t="s">
        <v>21</v>
      </c>
      <c r="M5" s="1" t="s">
        <v>22</v>
      </c>
      <c r="N5" s="1" t="s">
        <v>23</v>
      </c>
      <c r="O5" s="1" t="s">
        <v>53</v>
      </c>
      <c r="P5" s="1" t="s">
        <v>24</v>
      </c>
      <c r="Q5" s="1" t="s">
        <v>25</v>
      </c>
      <c r="R5" s="1" t="s">
        <v>26</v>
      </c>
    </row>
    <row r="6" spans="1:18" ht="210" x14ac:dyDescent="0.25">
      <c r="A6" s="15">
        <v>1</v>
      </c>
      <c r="B6" s="15">
        <v>1</v>
      </c>
      <c r="C6" s="15" t="s">
        <v>136</v>
      </c>
      <c r="D6" s="15">
        <v>13202016</v>
      </c>
      <c r="E6" s="15" t="str">
        <f t="shared" ref="E6:E29" si="0">+IF(I6=0,"En Tramite","Atendido")</f>
        <v>Atendido</v>
      </c>
      <c r="F6" s="15" t="s">
        <v>27</v>
      </c>
      <c r="G6" s="16">
        <v>42375</v>
      </c>
      <c r="H6" s="16">
        <f>WORKDAY(G6,IF(C6="SOLICITUD DE COPIA",10,IF(C6="SOLICITUD DE INFORMACIÓN",10,IF(C6="CONSULTA",30,15))),'DIAS LABORALES'!$A$1:$A$16)</f>
        <v>42397</v>
      </c>
      <c r="I6" s="16">
        <v>42390</v>
      </c>
      <c r="J6" s="16" t="s">
        <v>56</v>
      </c>
      <c r="K6" s="15" t="s">
        <v>62</v>
      </c>
      <c r="L6" s="15" t="s">
        <v>31</v>
      </c>
      <c r="M6" s="15" t="s">
        <v>29</v>
      </c>
      <c r="N6" s="15" t="s">
        <v>34</v>
      </c>
      <c r="O6" s="15" t="s">
        <v>132</v>
      </c>
      <c r="P6" s="15" t="str">
        <f t="shared" ref="P6:P29" si="1">LEFT(M6,3)</f>
        <v>SUB</v>
      </c>
      <c r="Q6" s="17">
        <f>NETWORKDAYS(G6,I6,('DIAS LABORALES'!$A$1:$A$16))-1</f>
        <v>10</v>
      </c>
      <c r="R6" s="15" t="str">
        <f>IF(I6=0,"En Tramite",IF(AND(C6="SOLICITUD DE COPIA",Q6&lt;=10),"Dentro de terminos",IF(AND(C6="SOLICITUD DE INFORMACIÓN",Q6&lt;=10),"Dentro de terminos",IF(AND(OR(C6="DENUNCIA",C6="FELICITACIÓN",C6="QUEJA",C6="RECLAMO",C6="SUGERENCIA",C6="PETICIÓN INTERÉS GENERAL",C6="PETICIÓN INTERÉS PARTICULAR"),Q6&lt;=15),"Dentro de terminos","Fuera de terminos"))))</f>
        <v>Dentro de terminos</v>
      </c>
    </row>
    <row r="7" spans="1:18" ht="45" x14ac:dyDescent="0.25">
      <c r="A7" s="15">
        <v>2</v>
      </c>
      <c r="B7" s="15">
        <v>2</v>
      </c>
      <c r="C7" s="15" t="s">
        <v>135</v>
      </c>
      <c r="D7" s="15">
        <v>19192016</v>
      </c>
      <c r="E7" s="15" t="str">
        <f t="shared" si="0"/>
        <v>Atendido</v>
      </c>
      <c r="F7" s="15" t="s">
        <v>27</v>
      </c>
      <c r="G7" s="16">
        <v>42376</v>
      </c>
      <c r="H7" s="16">
        <f>WORKDAY(G7,IF(C7="SOLICITUD DE COPIA",10,IF(C7="SOLICITUD DE INFORMACIÓN",10,IF(C7="CONSULTA",30,15))),'DIAS LABORALES'!$A$1:$A$16)</f>
        <v>42398</v>
      </c>
      <c r="I7" s="16">
        <v>42384</v>
      </c>
      <c r="J7" s="16" t="s">
        <v>63</v>
      </c>
      <c r="K7" s="15" t="s">
        <v>64</v>
      </c>
      <c r="L7" s="15" t="s">
        <v>31</v>
      </c>
      <c r="M7" s="15" t="s">
        <v>52</v>
      </c>
      <c r="N7" s="15" t="s">
        <v>34</v>
      </c>
      <c r="O7" s="15" t="s">
        <v>128</v>
      </c>
      <c r="P7" s="15" t="str">
        <f t="shared" si="1"/>
        <v>PLA</v>
      </c>
      <c r="Q7" s="17">
        <f>NETWORKDAYS(G7,I7,('DIAS LABORALES'!$A$1:$A$16))-1</f>
        <v>5</v>
      </c>
      <c r="R7" s="15" t="str">
        <f t="shared" ref="R7:R55" si="2">IF(I7=0,"En Tramite",IF(AND(C7="SOLICITUD DE COPIA",Q7&lt;=10),"Dentro de terminos",IF(AND(C7="SOLICITUD DE INFORMACIÓN",Q7&lt;=10),"Dentro de terminos",IF(AND(OR(C7="DENUNCIA",C7="FELICITACIÓN",C7="QUEJA",C7="RECLAMO",C7="SUGERENCIA",C7="PETICIÓN INTERÉS GENERAL",C7="PETICIÓN INTERÉS PARTICULAR"),Q7&lt;=15),"Dentro de terminos","Fuera de terminos"))))</f>
        <v>Dentro de terminos</v>
      </c>
    </row>
    <row r="8" spans="1:18" ht="180" x14ac:dyDescent="0.25">
      <c r="A8" s="15">
        <v>3</v>
      </c>
      <c r="B8" s="15">
        <v>3</v>
      </c>
      <c r="C8" s="15" t="s">
        <v>136</v>
      </c>
      <c r="D8" s="15">
        <v>20642016</v>
      </c>
      <c r="E8" s="15" t="str">
        <f t="shared" si="0"/>
        <v>Atendido</v>
      </c>
      <c r="F8" s="15" t="s">
        <v>27</v>
      </c>
      <c r="G8" s="16">
        <v>42376</v>
      </c>
      <c r="H8" s="16">
        <f>WORKDAY(G8,IF(C8="SOLICITUD DE COPIA",10,IF(C8="SOLICITUD DE INFORMACIÓN",10,IF(C8="CONSULTA",30,15))),'DIAS LABORALES'!$A$1:$A$16)</f>
        <v>42398</v>
      </c>
      <c r="I8" s="16">
        <v>42390</v>
      </c>
      <c r="J8" s="16" t="s">
        <v>56</v>
      </c>
      <c r="K8" s="15" t="s">
        <v>65</v>
      </c>
      <c r="L8" s="15" t="s">
        <v>31</v>
      </c>
      <c r="M8" s="15" t="s">
        <v>32</v>
      </c>
      <c r="N8" s="15" t="s">
        <v>34</v>
      </c>
      <c r="O8" s="15" t="s">
        <v>130</v>
      </c>
      <c r="P8" s="15" t="str">
        <f t="shared" si="1"/>
        <v>COM</v>
      </c>
      <c r="Q8" s="17">
        <f>NETWORKDAYS(G8,I8,('DIAS LABORALES'!$A$1:$A$16))-1</f>
        <v>9</v>
      </c>
      <c r="R8" s="15" t="str">
        <f t="shared" si="2"/>
        <v>Dentro de terminos</v>
      </c>
    </row>
    <row r="9" spans="1:18" ht="285" x14ac:dyDescent="0.25">
      <c r="A9" s="15">
        <v>4</v>
      </c>
      <c r="B9" s="15">
        <v>4</v>
      </c>
      <c r="C9" s="15" t="s">
        <v>136</v>
      </c>
      <c r="D9" s="15">
        <v>20872016</v>
      </c>
      <c r="E9" s="15" t="str">
        <f t="shared" si="0"/>
        <v>Atendido</v>
      </c>
      <c r="F9" s="15" t="s">
        <v>27</v>
      </c>
      <c r="G9" s="16">
        <v>42376</v>
      </c>
      <c r="H9" s="16">
        <f>WORKDAY(G9,IF(C9="SOLICITUD DE COPIA",10,IF(C9="SOLICITUD DE INFORMACIÓN",10,IF(C9="CONSULTA",30,15))),'DIAS LABORALES'!$A$1:$A$16)</f>
        <v>42398</v>
      </c>
      <c r="I9" s="16">
        <v>42390</v>
      </c>
      <c r="J9" s="16" t="s">
        <v>56</v>
      </c>
      <c r="K9" s="15" t="s">
        <v>57</v>
      </c>
      <c r="L9" s="15" t="s">
        <v>31</v>
      </c>
      <c r="M9" s="15" t="s">
        <v>29</v>
      </c>
      <c r="N9" s="15" t="s">
        <v>34</v>
      </c>
      <c r="O9" s="15" t="s">
        <v>133</v>
      </c>
      <c r="P9" s="15" t="str">
        <f t="shared" si="1"/>
        <v>SUB</v>
      </c>
      <c r="Q9" s="17">
        <f>NETWORKDAYS(G9,I9,('DIAS LABORALES'!$A$1:$A$16))-1</f>
        <v>9</v>
      </c>
      <c r="R9" s="15" t="str">
        <f t="shared" si="2"/>
        <v>Dentro de terminos</v>
      </c>
    </row>
    <row r="10" spans="1:18" ht="45" x14ac:dyDescent="0.25">
      <c r="A10" s="15">
        <v>5</v>
      </c>
      <c r="B10" s="15">
        <v>5</v>
      </c>
      <c r="C10" s="15" t="s">
        <v>135</v>
      </c>
      <c r="D10" s="15">
        <v>30432016</v>
      </c>
      <c r="E10" s="15" t="str">
        <f t="shared" si="0"/>
        <v>Atendido</v>
      </c>
      <c r="F10" s="15" t="s">
        <v>28</v>
      </c>
      <c r="G10" s="16">
        <v>42377</v>
      </c>
      <c r="H10" s="16">
        <f>WORKDAY(G10,IF(C10="SOLICITUD DE COPIA",10,IF(C10="SOLICITUD DE INFORMACIÓN",10,IF(C10="CONSULTA",30,15))),'DIAS LABORALES'!$A$1:$A$16)</f>
        <v>42401</v>
      </c>
      <c r="I10" s="16">
        <v>42394</v>
      </c>
      <c r="J10" s="16" t="s">
        <v>58</v>
      </c>
      <c r="K10" s="15" t="s">
        <v>59</v>
      </c>
      <c r="L10" s="15" t="s">
        <v>31</v>
      </c>
      <c r="M10" s="15" t="s">
        <v>77</v>
      </c>
      <c r="N10" s="15" t="s">
        <v>35</v>
      </c>
      <c r="O10" s="15" t="s">
        <v>164</v>
      </c>
      <c r="P10" s="15" t="str">
        <f t="shared" si="1"/>
        <v>JUR</v>
      </c>
      <c r="Q10" s="17">
        <f>NETWORKDAYS(G10,I10,('DIAS LABORALES'!$A$1:$A$16))-1</f>
        <v>10</v>
      </c>
      <c r="R10" s="15" t="str">
        <f t="shared" si="2"/>
        <v>Dentro de terminos</v>
      </c>
    </row>
    <row r="11" spans="1:18" ht="45" x14ac:dyDescent="0.25">
      <c r="A11" s="15">
        <v>6</v>
      </c>
      <c r="B11" s="15">
        <v>6</v>
      </c>
      <c r="C11" s="15" t="s">
        <v>135</v>
      </c>
      <c r="D11" s="15">
        <v>26952016</v>
      </c>
      <c r="E11" s="15" t="str">
        <f t="shared" si="0"/>
        <v>Atendido</v>
      </c>
      <c r="F11" s="15" t="s">
        <v>27</v>
      </c>
      <c r="G11" s="16">
        <v>42377</v>
      </c>
      <c r="H11" s="16">
        <f>WORKDAY(G11,IF(C11="SOLICITUD DE COPIA",10,IF(C11="SOLICITUD DE INFORMACIÓN",10,IF(C11="CONSULTA",30,15))),'DIAS LABORALES'!$A$1:$A$16)</f>
        <v>42401</v>
      </c>
      <c r="I11" s="16">
        <v>42390</v>
      </c>
      <c r="J11" s="16" t="s">
        <v>60</v>
      </c>
      <c r="K11" s="15" t="s">
        <v>61</v>
      </c>
      <c r="L11" s="15" t="s">
        <v>33</v>
      </c>
      <c r="M11" s="15" t="s">
        <v>29</v>
      </c>
      <c r="N11" s="15" t="s">
        <v>34</v>
      </c>
      <c r="O11" s="15" t="s">
        <v>134</v>
      </c>
      <c r="P11" s="15" t="str">
        <f t="shared" si="1"/>
        <v>SUB</v>
      </c>
      <c r="Q11" s="17">
        <f>NETWORKDAYS(G11,I11,('DIAS LABORALES'!$A$1:$A$16))-1</f>
        <v>8</v>
      </c>
      <c r="R11" s="15" t="str">
        <f t="shared" si="2"/>
        <v>Dentro de terminos</v>
      </c>
    </row>
    <row r="12" spans="1:18" ht="45" x14ac:dyDescent="0.25">
      <c r="A12" s="15">
        <v>7</v>
      </c>
      <c r="B12" s="15">
        <v>7</v>
      </c>
      <c r="C12" s="15" t="s">
        <v>135</v>
      </c>
      <c r="D12" s="15">
        <v>41642016</v>
      </c>
      <c r="E12" s="15" t="str">
        <f t="shared" si="0"/>
        <v>Atendido</v>
      </c>
      <c r="F12" s="15" t="s">
        <v>73</v>
      </c>
      <c r="G12" s="16">
        <v>42381</v>
      </c>
      <c r="H12" s="16">
        <f>WORKDAY(G12,IF(C12="SOLICITUD DE COPIA",10,IF(C12="SOLICITUD DE INFORMACIÓN",10,IF(C12="CONSULTA",30,15))),'DIAS LABORALES'!$A$1:$A$16)</f>
        <v>42402</v>
      </c>
      <c r="I12" s="16">
        <v>42383</v>
      </c>
      <c r="J12" s="16" t="s">
        <v>66</v>
      </c>
      <c r="K12" s="15" t="s">
        <v>68</v>
      </c>
      <c r="L12" s="15" t="s">
        <v>31</v>
      </c>
      <c r="M12" s="15" t="s">
        <v>77</v>
      </c>
      <c r="N12" s="15" t="s">
        <v>35</v>
      </c>
      <c r="O12" s="15" t="s">
        <v>129</v>
      </c>
      <c r="P12" s="15" t="str">
        <f t="shared" si="1"/>
        <v>JUR</v>
      </c>
      <c r="Q12" s="17">
        <f>NETWORKDAYS(G12,I12,('DIAS LABORALES'!$A$1:$A$16))-1</f>
        <v>2</v>
      </c>
      <c r="R12" s="15" t="str">
        <f t="shared" si="2"/>
        <v>Dentro de terminos</v>
      </c>
    </row>
    <row r="13" spans="1:18" ht="30" x14ac:dyDescent="0.25">
      <c r="A13" s="15">
        <v>8</v>
      </c>
      <c r="B13" s="15">
        <v>8</v>
      </c>
      <c r="C13" s="15" t="s">
        <v>91</v>
      </c>
      <c r="D13" s="15">
        <v>41672016</v>
      </c>
      <c r="E13" s="15" t="str">
        <f t="shared" si="0"/>
        <v>Atendido</v>
      </c>
      <c r="F13" s="15" t="s">
        <v>74</v>
      </c>
      <c r="G13" s="16">
        <v>42381</v>
      </c>
      <c r="H13" s="16">
        <f>WORKDAY(G13,IF(C13="SOLICITUD DE COPIA",10,IF(C13="SOLICITUD DE INFORMACIÓN",10,IF(C13="CONSULTA",30,15))),'DIAS LABORALES'!$A$1:$A$16)</f>
        <v>42395</v>
      </c>
      <c r="I13" s="16">
        <v>42396</v>
      </c>
      <c r="J13" s="16" t="s">
        <v>66</v>
      </c>
      <c r="K13" s="15" t="s">
        <v>69</v>
      </c>
      <c r="L13" s="15" t="s">
        <v>31</v>
      </c>
      <c r="M13" s="15" t="s">
        <v>78</v>
      </c>
      <c r="N13" s="15" t="s">
        <v>35</v>
      </c>
      <c r="O13" s="15" t="s">
        <v>153</v>
      </c>
      <c r="P13" s="15" t="str">
        <f t="shared" si="1"/>
        <v>SUB</v>
      </c>
      <c r="Q13" s="17">
        <f>NETWORKDAYS(G13,I13,('DIAS LABORALES'!$A$1:$A$16))-1</f>
        <v>11</v>
      </c>
      <c r="R13" s="15" t="str">
        <f t="shared" si="2"/>
        <v>Fuera de terminos</v>
      </c>
    </row>
    <row r="14" spans="1:18" ht="45" x14ac:dyDescent="0.25">
      <c r="A14" s="15">
        <v>9</v>
      </c>
      <c r="B14" s="15">
        <v>9</v>
      </c>
      <c r="C14" s="15" t="s">
        <v>135</v>
      </c>
      <c r="D14" s="15">
        <v>41722016</v>
      </c>
      <c r="E14" s="15" t="str">
        <f t="shared" si="0"/>
        <v>Atendido</v>
      </c>
      <c r="F14" s="15" t="s">
        <v>75</v>
      </c>
      <c r="G14" s="16">
        <v>42381</v>
      </c>
      <c r="H14" s="16">
        <f>WORKDAY(G14,IF(C14="SOLICITUD DE COPIA",10,IF(C14="SOLICITUD DE INFORMACIÓN",10,IF(C14="CONSULTA",30,15))),'DIAS LABORALES'!$A$1:$A$16)</f>
        <v>42402</v>
      </c>
      <c r="I14" s="16">
        <v>42389</v>
      </c>
      <c r="J14" s="16" t="s">
        <v>66</v>
      </c>
      <c r="K14" s="15" t="s">
        <v>70</v>
      </c>
      <c r="L14" s="15" t="s">
        <v>31</v>
      </c>
      <c r="M14" s="15" t="s">
        <v>93</v>
      </c>
      <c r="N14" s="15" t="s">
        <v>35</v>
      </c>
      <c r="O14" s="15" t="s">
        <v>154</v>
      </c>
      <c r="P14" s="15" t="str">
        <f t="shared" si="1"/>
        <v>DES</v>
      </c>
      <c r="Q14" s="17">
        <f>NETWORKDAYS(G14,I14,('DIAS LABORALES'!$A$1:$A$16))-1</f>
        <v>6</v>
      </c>
      <c r="R14" s="15" t="str">
        <f t="shared" si="2"/>
        <v>Dentro de terminos</v>
      </c>
    </row>
    <row r="15" spans="1:18" ht="45" x14ac:dyDescent="0.25">
      <c r="A15" s="15">
        <v>10</v>
      </c>
      <c r="B15" s="15">
        <v>10</v>
      </c>
      <c r="C15" s="15" t="s">
        <v>72</v>
      </c>
      <c r="D15" s="15">
        <v>41772016</v>
      </c>
      <c r="E15" s="15" t="str">
        <f t="shared" si="0"/>
        <v>Atendido</v>
      </c>
      <c r="F15" s="15" t="s">
        <v>76</v>
      </c>
      <c r="G15" s="16">
        <v>42381</v>
      </c>
      <c r="H15" s="16">
        <f>WORKDAY(G15,IF(C15="SOLICITUD DE COPIA",10,IF(C15="SOLICITUD DE INFORMACIÓN",10,IF(C15="CONSULTA",30,15))),'DIAS LABORALES'!$A$1:$A$16)</f>
        <v>42402</v>
      </c>
      <c r="I15" s="16">
        <v>42395</v>
      </c>
      <c r="J15" s="16" t="s">
        <v>67</v>
      </c>
      <c r="K15" s="15" t="s">
        <v>71</v>
      </c>
      <c r="L15" s="15" t="s">
        <v>79</v>
      </c>
      <c r="M15" s="15" t="s">
        <v>29</v>
      </c>
      <c r="N15" s="15" t="s">
        <v>35</v>
      </c>
      <c r="O15" s="15" t="s">
        <v>155</v>
      </c>
      <c r="P15" s="15" t="str">
        <f t="shared" si="1"/>
        <v>SUB</v>
      </c>
      <c r="Q15" s="17">
        <f>NETWORKDAYS(G15,I15,('DIAS LABORALES'!$A$1:$A$16))-1</f>
        <v>10</v>
      </c>
      <c r="R15" s="15" t="str">
        <f t="shared" si="2"/>
        <v>Dentro de terminos</v>
      </c>
    </row>
    <row r="16" spans="1:18" ht="330" x14ac:dyDescent="0.25">
      <c r="A16" s="15">
        <v>11</v>
      </c>
      <c r="B16" s="15">
        <v>11</v>
      </c>
      <c r="C16" s="15" t="s">
        <v>81</v>
      </c>
      <c r="D16" s="15">
        <v>46242016</v>
      </c>
      <c r="E16" s="15" t="str">
        <f t="shared" si="0"/>
        <v>Atendido</v>
      </c>
      <c r="F16" s="15" t="s">
        <v>27</v>
      </c>
      <c r="G16" s="16">
        <v>42384</v>
      </c>
      <c r="H16" s="16">
        <f>WORKDAY(G16,IF(C16="SOLICITUD DE COPIA",10,IF(C16="SOLICITUD DE INFORMACIÓN",10,IF(C16="CONSULTA",30,15))),'DIAS LABORALES'!$A$1:$A$16)</f>
        <v>42398</v>
      </c>
      <c r="I16" s="16">
        <v>42397</v>
      </c>
      <c r="J16" s="16" t="s">
        <v>63</v>
      </c>
      <c r="K16" s="15" t="s">
        <v>94</v>
      </c>
      <c r="L16" s="15" t="s">
        <v>31</v>
      </c>
      <c r="M16" s="15" t="s">
        <v>52</v>
      </c>
      <c r="N16" s="15" t="s">
        <v>34</v>
      </c>
      <c r="O16" s="15" t="s">
        <v>156</v>
      </c>
      <c r="P16" s="15" t="str">
        <f t="shared" si="1"/>
        <v>PLA</v>
      </c>
      <c r="Q16" s="17">
        <f>NETWORKDAYS(G16,I16,('DIAS LABORALES'!$A$1:$A$16))-1</f>
        <v>9</v>
      </c>
      <c r="R16" s="15" t="str">
        <f t="shared" si="2"/>
        <v>Dentro de terminos</v>
      </c>
    </row>
    <row r="17" spans="1:18" ht="135" x14ac:dyDescent="0.25">
      <c r="A17" s="15">
        <v>12</v>
      </c>
      <c r="B17" s="15">
        <v>12</v>
      </c>
      <c r="C17" s="15" t="s">
        <v>81</v>
      </c>
      <c r="D17" s="15">
        <v>48272016</v>
      </c>
      <c r="E17" s="15" t="str">
        <f t="shared" si="0"/>
        <v>Atendido</v>
      </c>
      <c r="F17" s="15" t="s">
        <v>27</v>
      </c>
      <c r="G17" s="16">
        <v>42384</v>
      </c>
      <c r="H17" s="16">
        <f>WORKDAY(G17,IF(C17="SOLICITUD DE COPIA",10,IF(C17="SOLICITUD DE INFORMACIÓN",10,IF(C17="CONSULTA",30,15))),'DIAS LABORALES'!$A$1:$A$16)</f>
        <v>42398</v>
      </c>
      <c r="I17" s="16">
        <v>42397</v>
      </c>
      <c r="J17" s="16" t="s">
        <v>63</v>
      </c>
      <c r="K17" s="15" t="s">
        <v>95</v>
      </c>
      <c r="L17" s="15" t="s">
        <v>31</v>
      </c>
      <c r="M17" s="15" t="s">
        <v>52</v>
      </c>
      <c r="N17" s="15" t="s">
        <v>34</v>
      </c>
      <c r="O17" s="15" t="s">
        <v>157</v>
      </c>
      <c r="P17" s="15" t="str">
        <f t="shared" si="1"/>
        <v>PLA</v>
      </c>
      <c r="Q17" s="17">
        <f>NETWORKDAYS(G17,I17,('DIAS LABORALES'!$A$1:$A$16))-1</f>
        <v>9</v>
      </c>
      <c r="R17" s="15" t="str">
        <f t="shared" si="2"/>
        <v>Dentro de terminos</v>
      </c>
    </row>
    <row r="18" spans="1:18" ht="45" x14ac:dyDescent="0.25">
      <c r="A18" s="15">
        <v>13</v>
      </c>
      <c r="B18" s="15">
        <v>13</v>
      </c>
      <c r="C18" s="15" t="s">
        <v>81</v>
      </c>
      <c r="D18" s="15">
        <v>50852016</v>
      </c>
      <c r="E18" s="15" t="str">
        <f t="shared" si="0"/>
        <v>Atendido</v>
      </c>
      <c r="F18" s="15" t="s">
        <v>80</v>
      </c>
      <c r="G18" s="16">
        <v>42384</v>
      </c>
      <c r="H18" s="16">
        <f>WORKDAY(G18,IF(C18="SOLICITUD DE COPIA",10,IF(C18="SOLICITUD DE INFORMACIÓN",10,IF(C18="CONSULTA",30,15))),'DIAS LABORALES'!$A$1:$A$16)</f>
        <v>42398</v>
      </c>
      <c r="I18" s="16">
        <v>42389</v>
      </c>
      <c r="J18" s="16" t="s">
        <v>82</v>
      </c>
      <c r="K18" s="15" t="s">
        <v>84</v>
      </c>
      <c r="L18" s="15" t="s">
        <v>31</v>
      </c>
      <c r="M18" s="15" t="s">
        <v>83</v>
      </c>
      <c r="N18" s="15" t="s">
        <v>34</v>
      </c>
      <c r="O18" s="15" t="s">
        <v>131</v>
      </c>
      <c r="P18" s="15" t="str">
        <f t="shared" si="1"/>
        <v>MIS</v>
      </c>
      <c r="Q18" s="17">
        <f>NETWORKDAYS(G18,I18,('DIAS LABORALES'!$A$1:$A$16))-1</f>
        <v>3</v>
      </c>
      <c r="R18" s="15" t="str">
        <f t="shared" si="2"/>
        <v>Dentro de terminos</v>
      </c>
    </row>
    <row r="19" spans="1:18" ht="45" x14ac:dyDescent="0.25">
      <c r="A19" s="15">
        <v>14</v>
      </c>
      <c r="B19" s="15">
        <v>14</v>
      </c>
      <c r="C19" s="15" t="s">
        <v>135</v>
      </c>
      <c r="D19" s="15">
        <v>53322016</v>
      </c>
      <c r="E19" s="15" t="str">
        <f t="shared" ref="E19:E27" si="3">+IF(I19=0,"En Tramite","Atendido")</f>
        <v>Atendido</v>
      </c>
      <c r="F19" s="15" t="s">
        <v>85</v>
      </c>
      <c r="G19" s="16">
        <v>42384</v>
      </c>
      <c r="H19" s="16">
        <f>WORKDAY(G19,IF(C19="SOLICITUD DE COPIA",10,IF(C19="SOLICITUD DE INFORMACIÓN",10,IF(C19="CONSULTA",30,15))),'DIAS LABORALES'!$A$1:$A$16)</f>
        <v>42405</v>
      </c>
      <c r="I19" s="16">
        <v>42404</v>
      </c>
      <c r="J19" s="16" t="s">
        <v>87</v>
      </c>
      <c r="K19" s="15" t="s">
        <v>89</v>
      </c>
      <c r="L19" s="15" t="s">
        <v>31</v>
      </c>
      <c r="M19" s="15" t="s">
        <v>83</v>
      </c>
      <c r="N19" s="15" t="s">
        <v>35</v>
      </c>
      <c r="O19" s="15" t="s">
        <v>216</v>
      </c>
      <c r="P19" s="15" t="str">
        <f t="shared" ref="P19:P27" si="4">LEFT(M19,3)</f>
        <v>MIS</v>
      </c>
      <c r="Q19" s="17">
        <f>NETWORKDAYS(G19,I19,('DIAS LABORALES'!$A$1:$A$16))-1</f>
        <v>14</v>
      </c>
      <c r="R19" s="15" t="str">
        <f t="shared" si="2"/>
        <v>Dentro de terminos</v>
      </c>
    </row>
    <row r="20" spans="1:18" ht="45" x14ac:dyDescent="0.25">
      <c r="A20" s="15">
        <v>15</v>
      </c>
      <c r="B20" s="15">
        <v>15</v>
      </c>
      <c r="C20" s="15" t="s">
        <v>135</v>
      </c>
      <c r="D20" s="15">
        <v>53382016</v>
      </c>
      <c r="E20" s="15" t="str">
        <f t="shared" si="3"/>
        <v>Atendido</v>
      </c>
      <c r="F20" s="15" t="s">
        <v>86</v>
      </c>
      <c r="G20" s="16">
        <v>42384</v>
      </c>
      <c r="H20" s="16">
        <f>WORKDAY(G20,IF(C20="SOLICITUD DE COPIA",10,IF(C20="SOLICITUD DE INFORMACIÓN",10,IF(C20="CONSULTA",30,15))),'DIAS LABORALES'!$A$1:$A$16)</f>
        <v>42405</v>
      </c>
      <c r="I20" s="16">
        <v>42397</v>
      </c>
      <c r="J20" s="16" t="s">
        <v>88</v>
      </c>
      <c r="K20" s="15" t="s">
        <v>90</v>
      </c>
      <c r="L20" s="15" t="s">
        <v>31</v>
      </c>
      <c r="M20" s="15" t="s">
        <v>29</v>
      </c>
      <c r="N20" s="15" t="s">
        <v>35</v>
      </c>
      <c r="O20" s="15" t="s">
        <v>148</v>
      </c>
      <c r="P20" s="15" t="str">
        <f t="shared" si="4"/>
        <v>SUB</v>
      </c>
      <c r="Q20" s="17">
        <f>NETWORKDAYS(G20,I20,('DIAS LABORALES'!$A$1:$A$16))-1</f>
        <v>9</v>
      </c>
      <c r="R20" s="15" t="str">
        <f t="shared" si="2"/>
        <v>Dentro de terminos</v>
      </c>
    </row>
    <row r="21" spans="1:18" ht="45" x14ac:dyDescent="0.25">
      <c r="A21" s="15">
        <v>16</v>
      </c>
      <c r="B21" s="15">
        <v>16</v>
      </c>
      <c r="C21" s="15" t="s">
        <v>135</v>
      </c>
      <c r="D21" s="15">
        <v>65712016</v>
      </c>
      <c r="E21" s="15" t="str">
        <f t="shared" si="3"/>
        <v>Atendido</v>
      </c>
      <c r="F21" s="15" t="s">
        <v>92</v>
      </c>
      <c r="G21" s="16">
        <v>42387</v>
      </c>
      <c r="H21" s="16">
        <f>WORKDAY(G21,IF(C21="SOLICITUD DE COPIA",10,IF(C21="SOLICITUD DE INFORMACIÓN",10,IF(C21="CONSULTA",30,15))),'DIAS LABORALES'!$A$1:$A$16)</f>
        <v>42408</v>
      </c>
      <c r="I21" s="16">
        <v>42397</v>
      </c>
      <c r="J21" s="16" t="s">
        <v>96</v>
      </c>
      <c r="K21" s="15" t="s">
        <v>97</v>
      </c>
      <c r="L21" s="15" t="s">
        <v>31</v>
      </c>
      <c r="M21" s="15" t="s">
        <v>29</v>
      </c>
      <c r="N21" s="15" t="s">
        <v>35</v>
      </c>
      <c r="O21" s="15" t="s">
        <v>147</v>
      </c>
      <c r="P21" s="15" t="str">
        <f t="shared" si="4"/>
        <v>SUB</v>
      </c>
      <c r="Q21" s="17">
        <f>NETWORKDAYS(G21,I21,('DIAS LABORALES'!$A$1:$A$16))-1</f>
        <v>8</v>
      </c>
      <c r="R21" s="15" t="str">
        <f t="shared" si="2"/>
        <v>Dentro de terminos</v>
      </c>
    </row>
    <row r="22" spans="1:18" ht="120" x14ac:dyDescent="0.25">
      <c r="A22" s="15">
        <v>17</v>
      </c>
      <c r="B22" s="15">
        <v>17</v>
      </c>
      <c r="C22" s="15" t="s">
        <v>135</v>
      </c>
      <c r="D22" s="15">
        <v>57372016</v>
      </c>
      <c r="E22" s="15" t="str">
        <f t="shared" si="3"/>
        <v>Atendido</v>
      </c>
      <c r="F22" s="15" t="s">
        <v>27</v>
      </c>
      <c r="G22" s="16">
        <v>42387</v>
      </c>
      <c r="H22" s="16">
        <f>WORKDAY(G22,IF(C22="SOLICITUD DE COPIA",10,IF(C22="SOLICITUD DE INFORMACIÓN",10,IF(C22="CONSULTA",30,15))),'DIAS LABORALES'!$A$1:$A$16)</f>
        <v>42408</v>
      </c>
      <c r="I22" s="16">
        <v>42398</v>
      </c>
      <c r="J22" s="16" t="s">
        <v>392</v>
      </c>
      <c r="K22" s="15" t="s">
        <v>98</v>
      </c>
      <c r="L22" s="15" t="s">
        <v>31</v>
      </c>
      <c r="M22" s="15" t="s">
        <v>30</v>
      </c>
      <c r="N22" s="15" t="s">
        <v>34</v>
      </c>
      <c r="O22" s="15" t="s">
        <v>179</v>
      </c>
      <c r="P22" s="15" t="str">
        <f t="shared" si="4"/>
        <v>DIR</v>
      </c>
      <c r="Q22" s="17">
        <f>NETWORKDAYS(G22,I22,('DIAS LABORALES'!$A$1:$A$16))-1</f>
        <v>9</v>
      </c>
      <c r="R22" s="15" t="str">
        <f t="shared" si="2"/>
        <v>Dentro de terminos</v>
      </c>
    </row>
    <row r="23" spans="1:18" ht="30" x14ac:dyDescent="0.25">
      <c r="A23" s="15">
        <v>18</v>
      </c>
      <c r="B23" s="15">
        <v>18</v>
      </c>
      <c r="C23" s="15" t="s">
        <v>107</v>
      </c>
      <c r="D23" s="15">
        <v>91962016</v>
      </c>
      <c r="E23" s="15" t="str">
        <f t="shared" si="3"/>
        <v>Atendido</v>
      </c>
      <c r="F23" s="15" t="s">
        <v>99</v>
      </c>
      <c r="G23" s="16">
        <v>42391</v>
      </c>
      <c r="H23" s="16">
        <f>WORKDAY(G23,IF(C23="SOLICITUD DE COPIA",10,IF(C23="SOLICITUD DE INFORMACIÓN",10,IF(C23="CONSULTA",30,15))),'DIAS LABORALES'!$A$1:$A$16)</f>
        <v>42412</v>
      </c>
      <c r="I23" s="16">
        <v>42398</v>
      </c>
      <c r="J23" s="16" t="s">
        <v>110</v>
      </c>
      <c r="K23" s="15" t="s">
        <v>119</v>
      </c>
      <c r="L23" s="15" t="s">
        <v>33</v>
      </c>
      <c r="M23" s="15" t="s">
        <v>29</v>
      </c>
      <c r="N23" s="15" t="s">
        <v>111</v>
      </c>
      <c r="O23" s="15" t="s">
        <v>180</v>
      </c>
      <c r="P23" s="15" t="str">
        <f t="shared" si="4"/>
        <v>SUB</v>
      </c>
      <c r="Q23" s="17">
        <f>NETWORKDAYS(G23,I23,('DIAS LABORALES'!$A$1:$A$16))-1</f>
        <v>5</v>
      </c>
      <c r="R23" s="15" t="str">
        <f t="shared" si="2"/>
        <v>Dentro de terminos</v>
      </c>
    </row>
    <row r="24" spans="1:18" ht="30" x14ac:dyDescent="0.25">
      <c r="A24" s="15">
        <v>19</v>
      </c>
      <c r="B24" s="15">
        <v>19</v>
      </c>
      <c r="C24" s="15" t="s">
        <v>108</v>
      </c>
      <c r="D24" s="15">
        <v>92032016</v>
      </c>
      <c r="E24" s="15" t="str">
        <f t="shared" si="3"/>
        <v>Atendido</v>
      </c>
      <c r="F24" s="15" t="s">
        <v>100</v>
      </c>
      <c r="G24" s="16">
        <v>42391</v>
      </c>
      <c r="H24" s="16">
        <f>WORKDAY(G24,IF(C24="SOLICITUD DE COPIA",10,IF(C24="SOLICITUD DE INFORMACIÓN",10,IF(C24="CONSULTA",30,15))),'DIAS LABORALES'!$A$1:$A$16)</f>
        <v>42412</v>
      </c>
      <c r="I24" s="16">
        <v>42398</v>
      </c>
      <c r="J24" s="16" t="s">
        <v>113</v>
      </c>
      <c r="K24" s="15" t="s">
        <v>114</v>
      </c>
      <c r="L24" s="15" t="s">
        <v>33</v>
      </c>
      <c r="M24" s="15" t="s">
        <v>29</v>
      </c>
      <c r="N24" s="15" t="s">
        <v>111</v>
      </c>
      <c r="O24" s="15" t="s">
        <v>181</v>
      </c>
      <c r="P24" s="15" t="str">
        <f t="shared" si="4"/>
        <v>SUB</v>
      </c>
      <c r="Q24" s="17">
        <f>NETWORKDAYS(G24,I24,('DIAS LABORALES'!$A$1:$A$16))-1</f>
        <v>5</v>
      </c>
      <c r="R24" s="15" t="str">
        <f t="shared" si="2"/>
        <v>Dentro de terminos</v>
      </c>
    </row>
    <row r="25" spans="1:18" ht="30" x14ac:dyDescent="0.25">
      <c r="A25" s="15">
        <v>20</v>
      </c>
      <c r="B25" s="15">
        <v>20</v>
      </c>
      <c r="C25" s="15" t="s">
        <v>108</v>
      </c>
      <c r="D25" s="15">
        <v>92062016</v>
      </c>
      <c r="E25" s="15" t="str">
        <f t="shared" si="3"/>
        <v>Atendido</v>
      </c>
      <c r="F25" s="15" t="s">
        <v>101</v>
      </c>
      <c r="G25" s="16">
        <v>42391</v>
      </c>
      <c r="H25" s="16">
        <f>WORKDAY(G25,IF(C25="SOLICITUD DE COPIA",10,IF(C25="SOLICITUD DE INFORMACIÓN",10,IF(C25="CONSULTA",30,15))),'DIAS LABORALES'!$A$1:$A$16)</f>
        <v>42412</v>
      </c>
      <c r="I25" s="16">
        <v>42398</v>
      </c>
      <c r="J25" s="16" t="s">
        <v>115</v>
      </c>
      <c r="K25" s="15" t="s">
        <v>120</v>
      </c>
      <c r="L25" s="15" t="s">
        <v>33</v>
      </c>
      <c r="M25" s="15" t="s">
        <v>29</v>
      </c>
      <c r="N25" s="15" t="s">
        <v>111</v>
      </c>
      <c r="O25" s="15" t="s">
        <v>182</v>
      </c>
      <c r="P25" s="15" t="str">
        <f t="shared" si="4"/>
        <v>SUB</v>
      </c>
      <c r="Q25" s="17">
        <f>NETWORKDAYS(G25,I25,('DIAS LABORALES'!$A$1:$A$16))-1</f>
        <v>5</v>
      </c>
      <c r="R25" s="15" t="str">
        <f t="shared" si="2"/>
        <v>Dentro de terminos</v>
      </c>
    </row>
    <row r="26" spans="1:18" ht="45" x14ac:dyDescent="0.25">
      <c r="A26" s="15">
        <v>21</v>
      </c>
      <c r="B26" s="15">
        <v>21</v>
      </c>
      <c r="C26" s="15" t="s">
        <v>108</v>
      </c>
      <c r="D26" s="15">
        <v>92112016</v>
      </c>
      <c r="E26" s="15" t="str">
        <f t="shared" si="3"/>
        <v>Atendido</v>
      </c>
      <c r="F26" s="15" t="s">
        <v>102</v>
      </c>
      <c r="G26" s="16">
        <v>42391</v>
      </c>
      <c r="H26" s="16">
        <f>WORKDAY(G26,IF(C26="SOLICITUD DE COPIA",10,IF(C26="SOLICITUD DE INFORMACIÓN",10,IF(C26="CONSULTA",30,15))),'DIAS LABORALES'!$A$1:$A$16)</f>
        <v>42412</v>
      </c>
      <c r="I26" s="16">
        <v>42398</v>
      </c>
      <c r="J26" s="16" t="s">
        <v>116</v>
      </c>
      <c r="K26" s="15" t="s">
        <v>121</v>
      </c>
      <c r="L26" s="15" t="s">
        <v>33</v>
      </c>
      <c r="M26" s="15" t="s">
        <v>29</v>
      </c>
      <c r="N26" s="15" t="s">
        <v>111</v>
      </c>
      <c r="O26" s="15" t="s">
        <v>183</v>
      </c>
      <c r="P26" s="15" t="str">
        <f t="shared" si="4"/>
        <v>SUB</v>
      </c>
      <c r="Q26" s="17">
        <f>NETWORKDAYS(G26,I26,('DIAS LABORALES'!$A$1:$A$16))-1</f>
        <v>5</v>
      </c>
      <c r="R26" s="15" t="str">
        <f t="shared" si="2"/>
        <v>Dentro de terminos</v>
      </c>
    </row>
    <row r="27" spans="1:18" ht="30" x14ac:dyDescent="0.25">
      <c r="A27" s="15">
        <v>22</v>
      </c>
      <c r="B27" s="15">
        <v>22</v>
      </c>
      <c r="C27" s="15" t="s">
        <v>108</v>
      </c>
      <c r="D27" s="15">
        <v>92192016</v>
      </c>
      <c r="E27" s="15" t="str">
        <f t="shared" si="3"/>
        <v>Atendido</v>
      </c>
      <c r="F27" s="15" t="s">
        <v>103</v>
      </c>
      <c r="G27" s="16">
        <v>42391</v>
      </c>
      <c r="H27" s="16">
        <f>WORKDAY(G27,IF(C27="SOLICITUD DE COPIA",10,IF(C27="SOLICITUD DE INFORMACIÓN",10,IF(C27="CONSULTA",30,15))),'DIAS LABORALES'!$A$1:$A$16)</f>
        <v>42412</v>
      </c>
      <c r="I27" s="16">
        <v>42397</v>
      </c>
      <c r="J27" s="16" t="s">
        <v>117</v>
      </c>
      <c r="K27" s="15" t="s">
        <v>122</v>
      </c>
      <c r="L27" s="15" t="s">
        <v>33</v>
      </c>
      <c r="M27" s="15" t="s">
        <v>29</v>
      </c>
      <c r="N27" s="15" t="s">
        <v>111</v>
      </c>
      <c r="O27" s="15" t="s">
        <v>158</v>
      </c>
      <c r="P27" s="15" t="str">
        <f t="shared" si="4"/>
        <v>SUB</v>
      </c>
      <c r="Q27" s="17">
        <f>NETWORKDAYS(G27,I27,('DIAS LABORALES'!$A$1:$A$16))-1</f>
        <v>4</v>
      </c>
      <c r="R27" s="15" t="str">
        <f t="shared" si="2"/>
        <v>Dentro de terminos</v>
      </c>
    </row>
    <row r="28" spans="1:18" ht="30" x14ac:dyDescent="0.25">
      <c r="A28" s="15">
        <v>23</v>
      </c>
      <c r="B28" s="15">
        <v>23</v>
      </c>
      <c r="C28" s="15" t="s">
        <v>108</v>
      </c>
      <c r="D28" s="15">
        <v>92212016</v>
      </c>
      <c r="E28" s="15" t="str">
        <f t="shared" si="0"/>
        <v>Atendido</v>
      </c>
      <c r="F28" s="15" t="s">
        <v>104</v>
      </c>
      <c r="G28" s="16">
        <v>42391</v>
      </c>
      <c r="H28" s="16">
        <f>WORKDAY(G28,IF(C28="SOLICITUD DE COPIA",10,IF(C28="SOLICITUD DE INFORMACIÓN",10,IF(C28="CONSULTA",30,15))),'DIAS LABORALES'!$A$1:$A$16)</f>
        <v>42412</v>
      </c>
      <c r="I28" s="16">
        <v>42397</v>
      </c>
      <c r="J28" s="16" t="s">
        <v>118</v>
      </c>
      <c r="K28" s="15" t="s">
        <v>123</v>
      </c>
      <c r="L28" s="15" t="s">
        <v>33</v>
      </c>
      <c r="M28" s="15" t="s">
        <v>29</v>
      </c>
      <c r="N28" s="15" t="s">
        <v>111</v>
      </c>
      <c r="O28" s="15" t="s">
        <v>159</v>
      </c>
      <c r="P28" s="15" t="str">
        <f t="shared" si="1"/>
        <v>SUB</v>
      </c>
      <c r="Q28" s="17">
        <f>NETWORKDAYS(G28,I28,('DIAS LABORALES'!$A$1:$A$16))-1</f>
        <v>4</v>
      </c>
      <c r="R28" s="15" t="str">
        <f t="shared" si="2"/>
        <v>Dentro de terminos</v>
      </c>
    </row>
    <row r="29" spans="1:18" ht="30" x14ac:dyDescent="0.25">
      <c r="A29" s="15">
        <v>24</v>
      </c>
      <c r="B29" s="15">
        <v>24</v>
      </c>
      <c r="C29" s="15" t="s">
        <v>108</v>
      </c>
      <c r="D29" s="15">
        <v>92262016</v>
      </c>
      <c r="E29" s="15" t="str">
        <f t="shared" si="0"/>
        <v>Atendido</v>
      </c>
      <c r="F29" s="15" t="s">
        <v>105</v>
      </c>
      <c r="G29" s="16">
        <v>42391</v>
      </c>
      <c r="H29" s="16">
        <f>WORKDAY(G29,IF(C29="SOLICITUD DE COPIA",10,IF(C29="SOLICITUD DE INFORMACIÓN",10,IF(C29="CONSULTA",30,15))),'DIAS LABORALES'!$A$1:$A$16)</f>
        <v>42412</v>
      </c>
      <c r="I29" s="16">
        <v>42397</v>
      </c>
      <c r="J29" s="16" t="s">
        <v>124</v>
      </c>
      <c r="K29" s="15" t="s">
        <v>127</v>
      </c>
      <c r="L29" s="15" t="s">
        <v>33</v>
      </c>
      <c r="M29" s="15" t="s">
        <v>29</v>
      </c>
      <c r="N29" s="15" t="s">
        <v>111</v>
      </c>
      <c r="O29" s="15" t="s">
        <v>160</v>
      </c>
      <c r="P29" s="15" t="str">
        <f t="shared" si="1"/>
        <v>SUB</v>
      </c>
      <c r="Q29" s="17">
        <f>NETWORKDAYS(G29,I29,('DIAS LABORALES'!$A$1:$A$16))-1</f>
        <v>4</v>
      </c>
      <c r="R29" s="15" t="str">
        <f t="shared" si="2"/>
        <v>Dentro de terminos</v>
      </c>
    </row>
    <row r="30" spans="1:18" ht="30" x14ac:dyDescent="0.25">
      <c r="A30" s="15">
        <v>25</v>
      </c>
      <c r="B30" s="15">
        <v>25</v>
      </c>
      <c r="C30" s="15" t="s">
        <v>109</v>
      </c>
      <c r="D30" s="15">
        <v>92302016</v>
      </c>
      <c r="E30" s="15" t="str">
        <f t="shared" ref="E30:E42" si="5">+IF(I30=0,"En Tramite","Atendido")</f>
        <v>Atendido</v>
      </c>
      <c r="F30" s="15" t="s">
        <v>106</v>
      </c>
      <c r="G30" s="16">
        <v>42391</v>
      </c>
      <c r="H30" s="16">
        <f>WORKDAY(G30,IF(C30="SOLICITUD DE COPIA",10,IF(C30="SOLICITUD DE INFORMACIÓN",10,IF(C30="CONSULTA",30,15))),'DIAS LABORALES'!$A$1:$A$16)</f>
        <v>42412</v>
      </c>
      <c r="I30" s="16">
        <v>42391</v>
      </c>
      <c r="J30" s="16" t="s">
        <v>125</v>
      </c>
      <c r="K30" s="15" t="s">
        <v>126</v>
      </c>
      <c r="L30" s="15" t="s">
        <v>112</v>
      </c>
      <c r="M30" s="15" t="s">
        <v>32</v>
      </c>
      <c r="N30" s="15" t="s">
        <v>111</v>
      </c>
      <c r="O30" s="15" t="s">
        <v>162</v>
      </c>
      <c r="P30" s="15" t="str">
        <f t="shared" ref="P30:P42" si="6">LEFT(M30,3)</f>
        <v>COM</v>
      </c>
      <c r="Q30" s="17">
        <f>NETWORKDAYS(G30,I30,('DIAS LABORALES'!$A$1:$A$16))-1</f>
        <v>0</v>
      </c>
      <c r="R30" s="15" t="str">
        <f t="shared" si="2"/>
        <v>Dentro de terminos</v>
      </c>
    </row>
    <row r="31" spans="1:18" ht="210" x14ac:dyDescent="0.25">
      <c r="A31" s="15">
        <v>26</v>
      </c>
      <c r="B31" s="15">
        <v>26</v>
      </c>
      <c r="C31" s="15" t="s">
        <v>136</v>
      </c>
      <c r="D31" s="15">
        <v>57182016</v>
      </c>
      <c r="E31" s="15" t="str">
        <f t="shared" si="5"/>
        <v>Atendido</v>
      </c>
      <c r="F31" s="15" t="s">
        <v>27</v>
      </c>
      <c r="G31" s="16">
        <v>42391</v>
      </c>
      <c r="H31" s="16">
        <f>WORKDAY(G31,IF(C31="SOLICITUD DE COPIA",10,IF(C31="SOLICITUD DE INFORMACIÓN",10,IF(C31="CONSULTA",30,15))),'DIAS LABORALES'!$A$1:$A$16)</f>
        <v>42412</v>
      </c>
      <c r="I31" s="16">
        <v>42394</v>
      </c>
      <c r="J31" s="16" t="s">
        <v>140</v>
      </c>
      <c r="K31" s="15" t="s">
        <v>141</v>
      </c>
      <c r="L31" s="15" t="s">
        <v>31</v>
      </c>
      <c r="M31" s="15" t="s">
        <v>83</v>
      </c>
      <c r="N31" s="15" t="s">
        <v>34</v>
      </c>
      <c r="O31" s="15" t="s">
        <v>161</v>
      </c>
      <c r="P31" s="15" t="str">
        <f t="shared" si="6"/>
        <v>MIS</v>
      </c>
      <c r="Q31" s="17">
        <f>NETWORKDAYS(G31,I31,('DIAS LABORALES'!$A$1:$A$16))-1</f>
        <v>1</v>
      </c>
      <c r="R31" s="15" t="str">
        <f t="shared" si="2"/>
        <v>Dentro de terminos</v>
      </c>
    </row>
    <row r="32" spans="1:18" ht="45" x14ac:dyDescent="0.25">
      <c r="A32" s="15">
        <v>27</v>
      </c>
      <c r="B32" s="15">
        <v>27</v>
      </c>
      <c r="C32" s="15" t="s">
        <v>136</v>
      </c>
      <c r="D32" s="15">
        <v>80852016</v>
      </c>
      <c r="E32" s="15" t="str">
        <f t="shared" si="5"/>
        <v>Atendido</v>
      </c>
      <c r="F32" s="15" t="s">
        <v>27</v>
      </c>
      <c r="G32" s="16">
        <v>42391</v>
      </c>
      <c r="H32" s="16">
        <f>WORKDAY(G32,IF(C32="SOLICITUD DE COPIA",10,IF(C32="SOLICITUD DE INFORMACIÓN",10,IF(C32="CONSULTA",30,15))),'DIAS LABORALES'!$A$1:$A$16)</f>
        <v>42412</v>
      </c>
      <c r="I32" s="16">
        <v>42394</v>
      </c>
      <c r="J32" s="16" t="s">
        <v>142</v>
      </c>
      <c r="K32" s="15" t="s">
        <v>143</v>
      </c>
      <c r="L32" s="15" t="s">
        <v>31</v>
      </c>
      <c r="M32" s="15" t="s">
        <v>83</v>
      </c>
      <c r="N32" s="15" t="s">
        <v>34</v>
      </c>
      <c r="O32" s="15" t="s">
        <v>163</v>
      </c>
      <c r="P32" s="15" t="str">
        <f t="shared" si="6"/>
        <v>MIS</v>
      </c>
      <c r="Q32" s="17">
        <f>NETWORKDAYS(G32,I32,('DIAS LABORALES'!$A$1:$A$16))-1</f>
        <v>1</v>
      </c>
      <c r="R32" s="15" t="str">
        <f t="shared" si="2"/>
        <v>Dentro de terminos</v>
      </c>
    </row>
    <row r="33" spans="1:18" ht="30" x14ac:dyDescent="0.25">
      <c r="A33" s="15">
        <v>28</v>
      </c>
      <c r="B33" s="15">
        <v>28</v>
      </c>
      <c r="C33" s="15" t="s">
        <v>72</v>
      </c>
      <c r="D33" s="15">
        <v>102752016</v>
      </c>
      <c r="E33" s="15" t="str">
        <f t="shared" si="5"/>
        <v>Atendido</v>
      </c>
      <c r="F33" s="15" t="s">
        <v>139</v>
      </c>
      <c r="G33" s="16">
        <v>42394</v>
      </c>
      <c r="H33" s="16">
        <f>WORKDAY(G33,IF(C33="SOLICITUD DE COPIA",10,IF(C33="SOLICITUD DE INFORMACIÓN",10,IF(C33="CONSULTA",30,15))),'DIAS LABORALES'!$A$1:$A$16)</f>
        <v>42415</v>
      </c>
      <c r="I33" s="16">
        <v>42412</v>
      </c>
      <c r="J33" s="16" t="s">
        <v>144</v>
      </c>
      <c r="K33" s="15" t="s">
        <v>145</v>
      </c>
      <c r="L33" s="15" t="s">
        <v>234</v>
      </c>
      <c r="M33" s="15" t="s">
        <v>78</v>
      </c>
      <c r="N33" s="15" t="s">
        <v>35</v>
      </c>
      <c r="O33" s="15" t="s">
        <v>282</v>
      </c>
      <c r="P33" s="15" t="str">
        <f t="shared" si="6"/>
        <v>SUB</v>
      </c>
      <c r="Q33" s="17">
        <f>NETWORKDAYS(G33,I33,('DIAS LABORALES'!$A$1:$A$16))-1</f>
        <v>14</v>
      </c>
      <c r="R33" s="15" t="str">
        <f t="shared" si="2"/>
        <v>Dentro de terminos</v>
      </c>
    </row>
    <row r="34" spans="1:18" ht="45" x14ac:dyDescent="0.25">
      <c r="A34" s="15">
        <v>29</v>
      </c>
      <c r="B34" s="15">
        <v>29</v>
      </c>
      <c r="C34" s="15" t="s">
        <v>135</v>
      </c>
      <c r="D34" s="15">
        <v>116302016</v>
      </c>
      <c r="E34" s="15" t="str">
        <f t="shared" si="5"/>
        <v>Atendido</v>
      </c>
      <c r="F34" s="15" t="s">
        <v>137</v>
      </c>
      <c r="G34" s="16">
        <v>42395</v>
      </c>
      <c r="H34" s="16">
        <f>WORKDAY(G34,IF(C34="SOLICITUD DE COPIA",10,IF(C34="SOLICITUD DE INFORMACIÓN",10,IF(C34="CONSULTA",30,15))),'DIAS LABORALES'!$A$1:$A$16)</f>
        <v>42416</v>
      </c>
      <c r="I34" s="16">
        <v>42418</v>
      </c>
      <c r="J34" s="16" t="s">
        <v>96</v>
      </c>
      <c r="K34" s="15" t="s">
        <v>138</v>
      </c>
      <c r="L34" s="15" t="s">
        <v>31</v>
      </c>
      <c r="M34" s="15" t="s">
        <v>83</v>
      </c>
      <c r="N34" s="15" t="s">
        <v>35</v>
      </c>
      <c r="O34" s="15" t="s">
        <v>292</v>
      </c>
      <c r="P34" s="15" t="str">
        <f t="shared" si="6"/>
        <v>MIS</v>
      </c>
      <c r="Q34" s="17">
        <f>NETWORKDAYS(G34,I34,('DIAS LABORALES'!$A$1:$A$16))-1</f>
        <v>17</v>
      </c>
      <c r="R34" s="15" t="str">
        <f t="shared" si="2"/>
        <v>Fuera de terminos</v>
      </c>
    </row>
    <row r="35" spans="1:18" ht="409.5" x14ac:dyDescent="0.25">
      <c r="A35" s="15">
        <v>30</v>
      </c>
      <c r="B35" s="15">
        <v>30</v>
      </c>
      <c r="C35" s="15" t="s">
        <v>135</v>
      </c>
      <c r="D35" s="15">
        <v>115682016</v>
      </c>
      <c r="E35" s="15" t="str">
        <f t="shared" si="5"/>
        <v>Atendido</v>
      </c>
      <c r="F35" s="15" t="s">
        <v>137</v>
      </c>
      <c r="G35" s="16">
        <v>42396</v>
      </c>
      <c r="H35" s="16">
        <f>WORKDAY(G35,IF(C35="SOLICITUD DE COPIA",10,IF(C35="SOLICITUD DE INFORMACIÓN",10,IF(C35="CONSULTA",30,15))),'DIAS LABORALES'!$A$1:$A$16)</f>
        <v>42417</v>
      </c>
      <c r="I35" s="16">
        <v>42410</v>
      </c>
      <c r="J35" s="16" t="s">
        <v>56</v>
      </c>
      <c r="K35" s="15" t="s">
        <v>146</v>
      </c>
      <c r="L35" s="15" t="s">
        <v>79</v>
      </c>
      <c r="M35" s="15" t="s">
        <v>29</v>
      </c>
      <c r="N35" s="15" t="s">
        <v>35</v>
      </c>
      <c r="O35" s="15" t="s">
        <v>233</v>
      </c>
      <c r="P35" s="15" t="str">
        <f t="shared" si="6"/>
        <v>SUB</v>
      </c>
      <c r="Q35" s="17">
        <f>NETWORKDAYS(G35,I35,('DIAS LABORALES'!$A$1:$A$16))-1</f>
        <v>10</v>
      </c>
      <c r="R35" s="15" t="str">
        <f t="shared" si="2"/>
        <v>Dentro de terminos</v>
      </c>
    </row>
    <row r="36" spans="1:18" ht="75" x14ac:dyDescent="0.25">
      <c r="A36" s="15">
        <v>31</v>
      </c>
      <c r="B36" s="15">
        <v>31</v>
      </c>
      <c r="C36" s="15" t="s">
        <v>72</v>
      </c>
      <c r="D36" s="15">
        <v>47502016</v>
      </c>
      <c r="E36" s="15" t="str">
        <f t="shared" si="5"/>
        <v>Atendido</v>
      </c>
      <c r="F36" s="15" t="s">
        <v>165</v>
      </c>
      <c r="G36" s="16">
        <v>42396</v>
      </c>
      <c r="H36" s="16">
        <f>WORKDAY(G36,IF(C36="SOLICITUD DE COPIA",10,IF(C36="SOLICITUD DE INFORMACIÓN",10,IF(C36="CONSULTA",30,15))),'DIAS LABORALES'!$A$1:$A$16)</f>
        <v>42417</v>
      </c>
      <c r="I36" s="16">
        <v>42411</v>
      </c>
      <c r="J36" s="16" t="s">
        <v>56</v>
      </c>
      <c r="K36" s="15" t="s">
        <v>167</v>
      </c>
      <c r="L36" s="15" t="s">
        <v>177</v>
      </c>
      <c r="M36" s="15" t="s">
        <v>150</v>
      </c>
      <c r="N36" s="15" t="s">
        <v>34</v>
      </c>
      <c r="O36" s="15" t="s">
        <v>293</v>
      </c>
      <c r="P36" s="15" t="str">
        <f t="shared" si="6"/>
        <v>BAÑ</v>
      </c>
      <c r="Q36" s="17">
        <f>NETWORKDAYS(G36,I36,('DIAS LABORALES'!$A$1:$A$16))-1</f>
        <v>11</v>
      </c>
      <c r="R36" s="15" t="str">
        <f t="shared" si="2"/>
        <v>Dentro de terminos</v>
      </c>
    </row>
    <row r="37" spans="1:18" ht="60" x14ac:dyDescent="0.25">
      <c r="A37" s="15">
        <v>32</v>
      </c>
      <c r="B37" s="15">
        <v>32</v>
      </c>
      <c r="C37" s="15" t="s">
        <v>107</v>
      </c>
      <c r="D37" s="15">
        <v>130792016</v>
      </c>
      <c r="E37" s="15" t="str">
        <f t="shared" si="5"/>
        <v>Atendido</v>
      </c>
      <c r="F37" s="15" t="s">
        <v>27</v>
      </c>
      <c r="G37" s="16">
        <v>42398</v>
      </c>
      <c r="H37" s="16">
        <f>WORKDAY(G37,IF(C37="SOLICITUD DE COPIA",10,IF(C37="SOLICITUD DE INFORMACIÓN",10,IF(C37="CONSULTA",30,15))),'DIAS LABORALES'!$A$1:$A$16)</f>
        <v>42419</v>
      </c>
      <c r="I37" s="16">
        <v>42410</v>
      </c>
      <c r="J37" s="16" t="s">
        <v>168</v>
      </c>
      <c r="K37" s="15" t="s">
        <v>169</v>
      </c>
      <c r="L37" s="15" t="s">
        <v>31</v>
      </c>
      <c r="M37" s="15" t="s">
        <v>29</v>
      </c>
      <c r="N37" s="15" t="s">
        <v>34</v>
      </c>
      <c r="O37" s="15" t="s">
        <v>233</v>
      </c>
      <c r="P37" s="15" t="str">
        <f t="shared" si="6"/>
        <v>SUB</v>
      </c>
      <c r="Q37" s="17">
        <f>NETWORKDAYS(G37,I37,('DIAS LABORALES'!$A$1:$A$16))-1</f>
        <v>8</v>
      </c>
      <c r="R37" s="15" t="str">
        <f t="shared" si="2"/>
        <v>Dentro de terminos</v>
      </c>
    </row>
    <row r="38" spans="1:18" ht="30" x14ac:dyDescent="0.25">
      <c r="A38" s="15">
        <v>33</v>
      </c>
      <c r="B38" s="15">
        <v>33</v>
      </c>
      <c r="C38" s="15" t="s">
        <v>107</v>
      </c>
      <c r="D38" s="15">
        <v>144112016</v>
      </c>
      <c r="E38" s="15" t="str">
        <f t="shared" si="5"/>
        <v>Atendido</v>
      </c>
      <c r="F38" s="15" t="s">
        <v>166</v>
      </c>
      <c r="G38" s="16">
        <v>42398</v>
      </c>
      <c r="H38" s="16">
        <f>WORKDAY(G38,IF(C38="SOLICITUD DE COPIA",10,IF(C38="SOLICITUD DE INFORMACIÓN",10,IF(C38="CONSULTA",30,15))),'DIAS LABORALES'!$A$1:$A$16)</f>
        <v>42419</v>
      </c>
      <c r="I38" s="16">
        <v>42410</v>
      </c>
      <c r="J38" s="16" t="s">
        <v>170</v>
      </c>
      <c r="K38" s="15" t="s">
        <v>171</v>
      </c>
      <c r="L38" s="15" t="s">
        <v>31</v>
      </c>
      <c r="M38" s="15" t="s">
        <v>93</v>
      </c>
      <c r="N38" s="15" t="s">
        <v>35</v>
      </c>
      <c r="O38" s="15" t="s">
        <v>281</v>
      </c>
      <c r="P38" s="15" t="str">
        <f t="shared" si="6"/>
        <v>DES</v>
      </c>
      <c r="Q38" s="17">
        <f>NETWORKDAYS(G38,I38,('DIAS LABORALES'!$A$1:$A$16))-1</f>
        <v>8</v>
      </c>
      <c r="R38" s="15" t="str">
        <f t="shared" si="2"/>
        <v>Dentro de terminos</v>
      </c>
    </row>
    <row r="39" spans="1:18" ht="30" x14ac:dyDescent="0.25">
      <c r="A39" s="15">
        <v>34</v>
      </c>
      <c r="B39" s="15">
        <v>34</v>
      </c>
      <c r="C39" s="15" t="s">
        <v>72</v>
      </c>
      <c r="D39" s="15">
        <v>140432016</v>
      </c>
      <c r="E39" s="15" t="str">
        <f t="shared" si="5"/>
        <v>Atendido</v>
      </c>
      <c r="F39" s="15" t="s">
        <v>152</v>
      </c>
      <c r="G39" s="16">
        <v>42398</v>
      </c>
      <c r="H39" s="16">
        <f>WORKDAY(G39,IF(C39="SOLICITUD DE COPIA",10,IF(C39="SOLICITUD DE INFORMACIÓN",10,IF(C39="CONSULTA",30,15))),'DIAS LABORALES'!$A$1:$A$16)</f>
        <v>42419</v>
      </c>
      <c r="I39" s="16">
        <v>42419</v>
      </c>
      <c r="J39" s="16" t="s">
        <v>149</v>
      </c>
      <c r="K39" s="15" t="s">
        <v>151</v>
      </c>
      <c r="L39" s="15" t="s">
        <v>177</v>
      </c>
      <c r="M39" s="15" t="s">
        <v>150</v>
      </c>
      <c r="N39" s="15" t="s">
        <v>34</v>
      </c>
      <c r="O39" s="15" t="s">
        <v>284</v>
      </c>
      <c r="P39" s="15" t="str">
        <f t="shared" si="6"/>
        <v>BAÑ</v>
      </c>
      <c r="Q39" s="17">
        <f>NETWORKDAYS(G39,I39,('DIAS LABORALES'!$A$1:$A$16))-1</f>
        <v>15</v>
      </c>
      <c r="R39" s="15" t="str">
        <f t="shared" si="2"/>
        <v>Dentro de terminos</v>
      </c>
    </row>
    <row r="40" spans="1:18" ht="210" x14ac:dyDescent="0.25">
      <c r="A40" s="15">
        <v>35</v>
      </c>
      <c r="B40" s="15">
        <v>1</v>
      </c>
      <c r="C40" s="15" t="s">
        <v>136</v>
      </c>
      <c r="D40" s="15">
        <v>13222016</v>
      </c>
      <c r="E40" s="15" t="str">
        <f t="shared" si="5"/>
        <v>Atendido</v>
      </c>
      <c r="F40" s="15" t="s">
        <v>27</v>
      </c>
      <c r="G40" s="16">
        <v>42401</v>
      </c>
      <c r="H40" s="16">
        <f>WORKDAY(G40,IF(C40="SOLICITUD DE COPIA",10,IF(C40="SOLICITUD DE INFORMACIÓN",10,IF(C40="CONSULTA",30,15))),'DIAS LABORALES'!$A$1:$A$16)</f>
        <v>42422</v>
      </c>
      <c r="I40" s="16">
        <v>42410</v>
      </c>
      <c r="J40" s="16" t="s">
        <v>56</v>
      </c>
      <c r="K40" s="15" t="s">
        <v>172</v>
      </c>
      <c r="L40" s="15" t="s">
        <v>31</v>
      </c>
      <c r="M40" s="15" t="s">
        <v>29</v>
      </c>
      <c r="N40" s="15" t="s">
        <v>34</v>
      </c>
      <c r="O40" s="15" t="s">
        <v>233</v>
      </c>
      <c r="P40" s="15" t="str">
        <f t="shared" si="6"/>
        <v>SUB</v>
      </c>
      <c r="Q40" s="17">
        <f>NETWORKDAYS(G40,I40,('DIAS LABORALES'!$A$1:$A$16))-1</f>
        <v>7</v>
      </c>
      <c r="R40" s="15" t="str">
        <f t="shared" si="2"/>
        <v>Dentro de terminos</v>
      </c>
    </row>
    <row r="41" spans="1:18" ht="240" x14ac:dyDescent="0.25">
      <c r="A41" s="15">
        <v>36</v>
      </c>
      <c r="B41" s="15">
        <v>2</v>
      </c>
      <c r="C41" s="15" t="s">
        <v>135</v>
      </c>
      <c r="D41" s="15">
        <v>145612016</v>
      </c>
      <c r="E41" s="15" t="str">
        <f t="shared" si="5"/>
        <v>Atendido</v>
      </c>
      <c r="F41" s="15" t="s">
        <v>27</v>
      </c>
      <c r="G41" s="16">
        <v>42401</v>
      </c>
      <c r="H41" s="16">
        <f>WORKDAY(G41,IF(C41="SOLICITUD DE COPIA",10,IF(C41="SOLICITUD DE INFORMACIÓN",10,IF(C41="CONSULTA",30,15))),'DIAS LABORALES'!$A$1:$A$16)</f>
        <v>42422</v>
      </c>
      <c r="I41" s="16">
        <v>42425</v>
      </c>
      <c r="J41" s="16" t="s">
        <v>173</v>
      </c>
      <c r="K41" s="15" t="s">
        <v>174</v>
      </c>
      <c r="L41" s="15" t="s">
        <v>31</v>
      </c>
      <c r="M41" s="15" t="s">
        <v>150</v>
      </c>
      <c r="N41" s="15" t="s">
        <v>34</v>
      </c>
      <c r="O41" s="15" t="s">
        <v>278</v>
      </c>
      <c r="P41" s="15" t="str">
        <f t="shared" si="6"/>
        <v>BAÑ</v>
      </c>
      <c r="Q41" s="17">
        <f>NETWORKDAYS(G41,I41,('DIAS LABORALES'!$A$1:$A$16))-1</f>
        <v>18</v>
      </c>
      <c r="R41" s="15" t="str">
        <f t="shared" si="2"/>
        <v>Fuera de terminos</v>
      </c>
    </row>
    <row r="42" spans="1:18" ht="30" x14ac:dyDescent="0.25">
      <c r="A42" s="15">
        <v>37</v>
      </c>
      <c r="B42" s="15">
        <v>3</v>
      </c>
      <c r="C42" s="15" t="s">
        <v>72</v>
      </c>
      <c r="D42" s="15">
        <v>161282016</v>
      </c>
      <c r="E42" s="15" t="str">
        <f t="shared" si="5"/>
        <v>Atendido</v>
      </c>
      <c r="F42" s="15" t="s">
        <v>175</v>
      </c>
      <c r="G42" s="16">
        <v>42402</v>
      </c>
      <c r="H42" s="16">
        <f>WORKDAY(G42,IF(C42="SOLICITUD DE COPIA",10,IF(C42="SOLICITUD DE INFORMACIÓN",10,IF(C42="CONSULTA",30,15))),'DIAS LABORALES'!$A$1:$A$16)</f>
        <v>42423</v>
      </c>
      <c r="I42" s="16">
        <v>42419</v>
      </c>
      <c r="J42" s="16" t="s">
        <v>176</v>
      </c>
      <c r="K42" s="15" t="s">
        <v>178</v>
      </c>
      <c r="L42" s="15" t="s">
        <v>177</v>
      </c>
      <c r="M42" s="15" t="s">
        <v>93</v>
      </c>
      <c r="N42" s="15" t="s">
        <v>111</v>
      </c>
      <c r="O42" s="15" t="s">
        <v>290</v>
      </c>
      <c r="P42" s="15" t="str">
        <f t="shared" si="6"/>
        <v>DES</v>
      </c>
      <c r="Q42" s="17">
        <f>NETWORKDAYS(G42,I42,('DIAS LABORALES'!$A$1:$A$16))-1</f>
        <v>13</v>
      </c>
      <c r="R42" s="15" t="str">
        <f t="shared" si="2"/>
        <v>Dentro de terminos</v>
      </c>
    </row>
    <row r="43" spans="1:18" ht="30" x14ac:dyDescent="0.25">
      <c r="A43" s="15">
        <v>38</v>
      </c>
      <c r="B43" s="15">
        <v>4</v>
      </c>
      <c r="C43" s="15" t="s">
        <v>107</v>
      </c>
      <c r="D43" s="15">
        <v>167922016</v>
      </c>
      <c r="E43" s="15" t="str">
        <f t="shared" ref="E43:E55" si="7">+IF(I43=0,"En Tramite","Atendido")</f>
        <v>Atendido</v>
      </c>
      <c r="F43" s="15" t="s">
        <v>184</v>
      </c>
      <c r="G43" s="16">
        <v>42402</v>
      </c>
      <c r="H43" s="16">
        <f>WORKDAY(G43,IF(C43="SOLICITUD DE COPIA",10,IF(C43="SOLICITUD DE INFORMACIÓN",10,IF(C43="CONSULTA",30,15))),'DIAS LABORALES'!$A$1:$A$16)</f>
        <v>42423</v>
      </c>
      <c r="I43" s="16">
        <v>42425</v>
      </c>
      <c r="J43" s="16" t="s">
        <v>187</v>
      </c>
      <c r="K43" s="15" t="s">
        <v>188</v>
      </c>
      <c r="L43" s="15" t="s">
        <v>31</v>
      </c>
      <c r="M43" s="15" t="s">
        <v>150</v>
      </c>
      <c r="N43" s="15" t="s">
        <v>35</v>
      </c>
      <c r="O43" s="15" t="s">
        <v>279</v>
      </c>
      <c r="P43" s="15" t="str">
        <f t="shared" ref="P43:P55" si="8">LEFT(M43,3)</f>
        <v>BAÑ</v>
      </c>
      <c r="Q43" s="17">
        <f>NETWORKDAYS(G43,I43,('DIAS LABORALES'!$A$1:$A$16))-1</f>
        <v>17</v>
      </c>
      <c r="R43" s="15" t="str">
        <f t="shared" si="2"/>
        <v>Fuera de terminos</v>
      </c>
    </row>
    <row r="44" spans="1:18" ht="30" x14ac:dyDescent="0.25">
      <c r="A44" s="15">
        <v>39</v>
      </c>
      <c r="B44" s="15">
        <v>5</v>
      </c>
      <c r="C44" s="15" t="s">
        <v>72</v>
      </c>
      <c r="D44" s="15">
        <v>167872016</v>
      </c>
      <c r="E44" s="15" t="str">
        <f t="shared" si="7"/>
        <v>Atendido</v>
      </c>
      <c r="F44" s="15" t="s">
        <v>185</v>
      </c>
      <c r="G44" s="16">
        <v>42402</v>
      </c>
      <c r="H44" s="16">
        <f>WORKDAY(G44,IF(C44="SOLICITUD DE COPIA",10,IF(C44="SOLICITUD DE INFORMACIÓN",10,IF(C44="CONSULTA",30,15))),'DIAS LABORALES'!$A$1:$A$16)</f>
        <v>42423</v>
      </c>
      <c r="I44" s="16">
        <v>42425</v>
      </c>
      <c r="J44" s="16" t="s">
        <v>189</v>
      </c>
      <c r="K44" s="15" t="s">
        <v>190</v>
      </c>
      <c r="L44" s="15" t="s">
        <v>177</v>
      </c>
      <c r="M44" s="15" t="s">
        <v>150</v>
      </c>
      <c r="N44" s="15" t="s">
        <v>35</v>
      </c>
      <c r="O44" s="15" t="s">
        <v>280</v>
      </c>
      <c r="P44" s="15" t="str">
        <f t="shared" si="8"/>
        <v>BAÑ</v>
      </c>
      <c r="Q44" s="17">
        <f>NETWORKDAYS(G44,I44,('DIAS LABORALES'!$A$1:$A$16))-1</f>
        <v>17</v>
      </c>
      <c r="R44" s="15" t="str">
        <f t="shared" si="2"/>
        <v>Fuera de terminos</v>
      </c>
    </row>
    <row r="45" spans="1:18" ht="30" x14ac:dyDescent="0.25">
      <c r="A45" s="15">
        <v>40</v>
      </c>
      <c r="B45" s="15">
        <v>6</v>
      </c>
      <c r="C45" s="15" t="s">
        <v>91</v>
      </c>
      <c r="D45" s="15">
        <v>173102016</v>
      </c>
      <c r="E45" s="15" t="str">
        <f t="shared" si="7"/>
        <v>Atendido</v>
      </c>
      <c r="F45" s="15" t="s">
        <v>186</v>
      </c>
      <c r="G45" s="16">
        <v>42402</v>
      </c>
      <c r="H45" s="16">
        <f>WORKDAY(G45,IF(C45="SOLICITUD DE COPIA",10,IF(C45="SOLICITUD DE INFORMACIÓN",10,IF(C45="CONSULTA",30,15))),'DIAS LABORALES'!$A$1:$A$16)</f>
        <v>42416</v>
      </c>
      <c r="I45" s="16">
        <v>42412</v>
      </c>
      <c r="J45" s="16" t="s">
        <v>191</v>
      </c>
      <c r="K45" s="15" t="s">
        <v>192</v>
      </c>
      <c r="L45" s="15" t="s">
        <v>31</v>
      </c>
      <c r="M45" s="15" t="s">
        <v>78</v>
      </c>
      <c r="N45" s="15" t="s">
        <v>35</v>
      </c>
      <c r="O45" s="15" t="s">
        <v>294</v>
      </c>
      <c r="P45" s="15" t="str">
        <f t="shared" si="8"/>
        <v>SUB</v>
      </c>
      <c r="Q45" s="17">
        <f>NETWORKDAYS(G45,I45,('DIAS LABORALES'!$A$1:$A$16))-1</f>
        <v>8</v>
      </c>
      <c r="R45" s="15" t="str">
        <f t="shared" si="2"/>
        <v>Dentro de terminos</v>
      </c>
    </row>
    <row r="46" spans="1:18" ht="45" x14ac:dyDescent="0.25">
      <c r="A46" s="15">
        <v>41</v>
      </c>
      <c r="B46" s="15">
        <v>7</v>
      </c>
      <c r="C46" s="15" t="s">
        <v>136</v>
      </c>
      <c r="D46" s="15">
        <v>170942016</v>
      </c>
      <c r="E46" s="15" t="str">
        <f t="shared" si="7"/>
        <v>Atendido</v>
      </c>
      <c r="F46" s="15" t="s">
        <v>186</v>
      </c>
      <c r="G46" s="16">
        <v>42402</v>
      </c>
      <c r="H46" s="16">
        <f>WORKDAY(G46,IF(C46="SOLICITUD DE COPIA",10,IF(C46="SOLICITUD DE INFORMACIÓN",10,IF(C46="CONSULTA",30,15))),'DIAS LABORALES'!$A$1:$A$16)</f>
        <v>42423</v>
      </c>
      <c r="I46" s="16">
        <v>42410</v>
      </c>
      <c r="J46" s="16" t="s">
        <v>195</v>
      </c>
      <c r="K46" s="15" t="s">
        <v>196</v>
      </c>
      <c r="L46" s="15" t="s">
        <v>31</v>
      </c>
      <c r="M46" s="15" t="s">
        <v>29</v>
      </c>
      <c r="N46" s="15" t="s">
        <v>35</v>
      </c>
      <c r="O46" s="15" t="s">
        <v>295</v>
      </c>
      <c r="P46" s="15" t="str">
        <f t="shared" si="8"/>
        <v>SUB</v>
      </c>
      <c r="Q46" s="17">
        <f>NETWORKDAYS(G46,I46,('DIAS LABORALES'!$A$1:$A$16))-1</f>
        <v>6</v>
      </c>
      <c r="R46" s="15" t="str">
        <f t="shared" si="2"/>
        <v>Dentro de terminos</v>
      </c>
    </row>
    <row r="47" spans="1:18" ht="120" x14ac:dyDescent="0.25">
      <c r="A47" s="15">
        <v>42</v>
      </c>
      <c r="B47" s="15">
        <v>8</v>
      </c>
      <c r="C47" s="15" t="s">
        <v>135</v>
      </c>
      <c r="D47" s="15">
        <v>169872016</v>
      </c>
      <c r="E47" s="15" t="str">
        <f t="shared" si="7"/>
        <v>Atendido</v>
      </c>
      <c r="F47" s="15" t="s">
        <v>27</v>
      </c>
      <c r="G47" s="16">
        <v>42402</v>
      </c>
      <c r="H47" s="16">
        <f>WORKDAY(G47,IF(C47="SOLICITUD DE COPIA",10,IF(C47="SOLICITUD DE INFORMACIÓN",10,IF(C47="CONSULTA",30,15))),'DIAS LABORALES'!$A$1:$A$16)</f>
        <v>42423</v>
      </c>
      <c r="I47" s="16">
        <v>42424</v>
      </c>
      <c r="J47" s="16" t="s">
        <v>392</v>
      </c>
      <c r="K47" s="15" t="s">
        <v>197</v>
      </c>
      <c r="L47" s="15" t="s">
        <v>31</v>
      </c>
      <c r="M47" s="15" t="s">
        <v>29</v>
      </c>
      <c r="N47" s="15" t="s">
        <v>34</v>
      </c>
      <c r="O47" s="15" t="s">
        <v>291</v>
      </c>
      <c r="P47" s="15" t="str">
        <f t="shared" si="8"/>
        <v>SUB</v>
      </c>
      <c r="Q47" s="17">
        <f>NETWORKDAYS(G47,I47,('DIAS LABORALES'!$A$1:$A$16))-1</f>
        <v>16</v>
      </c>
      <c r="R47" s="15" t="str">
        <f t="shared" si="2"/>
        <v>Fuera de terminos</v>
      </c>
    </row>
    <row r="48" spans="1:18" ht="45" x14ac:dyDescent="0.25">
      <c r="A48" s="15">
        <v>43</v>
      </c>
      <c r="B48" s="15">
        <v>9</v>
      </c>
      <c r="C48" s="15" t="s">
        <v>136</v>
      </c>
      <c r="D48" s="15">
        <v>163862016</v>
      </c>
      <c r="E48" s="15" t="str">
        <f>+IF(I48=0,"En Tramite","Atendido")</f>
        <v>Atendido</v>
      </c>
      <c r="F48" s="15" t="s">
        <v>27</v>
      </c>
      <c r="G48" s="16">
        <v>42403</v>
      </c>
      <c r="H48" s="16">
        <f>WORKDAY(G48,IF(C48="SOLICITUD DE COPIA",10,IF(C48="SOLICITUD DE INFORMACIÓN",10,IF(C48="CONSULTA",30,15))),'DIAS LABORALES'!$A$1:$A$16)</f>
        <v>42424</v>
      </c>
      <c r="I48" s="16">
        <v>42410</v>
      </c>
      <c r="J48" s="16" t="s">
        <v>193</v>
      </c>
      <c r="K48" s="15" t="s">
        <v>194</v>
      </c>
      <c r="L48" s="15" t="s">
        <v>31</v>
      </c>
      <c r="M48" s="15" t="s">
        <v>29</v>
      </c>
      <c r="N48" s="15" t="s">
        <v>34</v>
      </c>
      <c r="O48" s="15" t="s">
        <v>296</v>
      </c>
      <c r="P48" s="15" t="str">
        <f>LEFT(M48,3)</f>
        <v>SUB</v>
      </c>
      <c r="Q48" s="17">
        <f>NETWORKDAYS(G48,I48,('DIAS LABORALES'!$A$1:$A$16))-1</f>
        <v>5</v>
      </c>
      <c r="R48" s="15" t="str">
        <f t="shared" si="2"/>
        <v>Dentro de terminos</v>
      </c>
    </row>
    <row r="49" spans="1:18" ht="105" x14ac:dyDescent="0.25">
      <c r="A49" s="15">
        <v>44</v>
      </c>
      <c r="B49" s="15">
        <v>10</v>
      </c>
      <c r="C49" s="15" t="s">
        <v>72</v>
      </c>
      <c r="D49" s="15">
        <v>172892016</v>
      </c>
      <c r="E49" s="15" t="str">
        <f t="shared" si="7"/>
        <v>Atendido</v>
      </c>
      <c r="F49" s="15" t="s">
        <v>27</v>
      </c>
      <c r="G49" s="16">
        <v>42403</v>
      </c>
      <c r="H49" s="16">
        <f>WORKDAY(G49,IF(C49="SOLICITUD DE COPIA",10,IF(C49="SOLICITUD DE INFORMACIÓN",10,IF(C49="CONSULTA",30,15))),'DIAS LABORALES'!$A$1:$A$16)</f>
        <v>42424</v>
      </c>
      <c r="I49" s="16">
        <v>42418</v>
      </c>
      <c r="J49" s="16" t="s">
        <v>198</v>
      </c>
      <c r="K49" s="15" t="s">
        <v>199</v>
      </c>
      <c r="L49" s="15" t="s">
        <v>177</v>
      </c>
      <c r="M49" s="15" t="s">
        <v>83</v>
      </c>
      <c r="N49" s="15" t="s">
        <v>200</v>
      </c>
      <c r="O49" s="15" t="s">
        <v>289</v>
      </c>
      <c r="P49" s="15" t="str">
        <f t="shared" si="8"/>
        <v>MIS</v>
      </c>
      <c r="Q49" s="17">
        <f>NETWORKDAYS(G49,I49,('DIAS LABORALES'!$A$1:$A$16))-1</f>
        <v>11</v>
      </c>
      <c r="R49" s="15" t="str">
        <f t="shared" si="2"/>
        <v>Dentro de terminos</v>
      </c>
    </row>
    <row r="50" spans="1:18" ht="45" x14ac:dyDescent="0.25">
      <c r="A50" s="15">
        <v>45</v>
      </c>
      <c r="B50" s="15">
        <v>11</v>
      </c>
      <c r="C50" s="15" t="s">
        <v>135</v>
      </c>
      <c r="D50" s="15">
        <v>187412016</v>
      </c>
      <c r="E50" s="15" t="str">
        <f t="shared" si="7"/>
        <v>Atendido</v>
      </c>
      <c r="F50" s="15" t="s">
        <v>201</v>
      </c>
      <c r="G50" s="16">
        <v>42404</v>
      </c>
      <c r="H50" s="16">
        <f>WORKDAY(G50,IF(C50="SOLICITUD DE COPIA",10,IF(C50="SOLICITUD DE INFORMACIÓN",10,IF(C50="CONSULTA",30,15))),'DIAS LABORALES'!$A$1:$A$16)</f>
        <v>42425</v>
      </c>
      <c r="I50" s="16">
        <v>42422</v>
      </c>
      <c r="J50" s="16" t="s">
        <v>202</v>
      </c>
      <c r="K50" s="15" t="s">
        <v>203</v>
      </c>
      <c r="L50" s="15" t="s">
        <v>31</v>
      </c>
      <c r="M50" s="15" t="s">
        <v>29</v>
      </c>
      <c r="N50" s="15" t="s">
        <v>35</v>
      </c>
      <c r="O50" s="15" t="s">
        <v>297</v>
      </c>
      <c r="P50" s="15" t="str">
        <f t="shared" si="8"/>
        <v>SUB</v>
      </c>
      <c r="Q50" s="17">
        <f>NETWORKDAYS(G50,I50,('DIAS LABORALES'!$A$1:$A$16))-1</f>
        <v>12</v>
      </c>
      <c r="R50" s="15" t="str">
        <f t="shared" si="2"/>
        <v>Dentro de terminos</v>
      </c>
    </row>
    <row r="51" spans="1:18" ht="45" x14ac:dyDescent="0.25">
      <c r="A51" s="15">
        <v>46</v>
      </c>
      <c r="B51" s="15">
        <v>12</v>
      </c>
      <c r="C51" s="15" t="s">
        <v>81</v>
      </c>
      <c r="D51" s="15">
        <v>187482016</v>
      </c>
      <c r="E51" s="15" t="str">
        <f t="shared" si="7"/>
        <v>Atendido</v>
      </c>
      <c r="F51" s="15" t="s">
        <v>206</v>
      </c>
      <c r="G51" s="16">
        <v>42404</v>
      </c>
      <c r="H51" s="16">
        <f>WORKDAY(G51,IF(C51="SOLICITUD DE COPIA",10,IF(C51="SOLICITUD DE INFORMACIÓN",10,IF(C51="CONSULTA",30,15))),'DIAS LABORALES'!$A$1:$A$16)</f>
        <v>42418</v>
      </c>
      <c r="I51" s="16">
        <v>42408</v>
      </c>
      <c r="J51" s="16" t="s">
        <v>204</v>
      </c>
      <c r="K51" s="15" t="s">
        <v>205</v>
      </c>
      <c r="L51" s="15" t="s">
        <v>300</v>
      </c>
      <c r="M51" s="15" t="s">
        <v>32</v>
      </c>
      <c r="N51" s="15" t="s">
        <v>111</v>
      </c>
      <c r="O51" s="15" t="s">
        <v>283</v>
      </c>
      <c r="P51" s="15" t="str">
        <f t="shared" si="8"/>
        <v>COM</v>
      </c>
      <c r="Q51" s="17">
        <f>NETWORKDAYS(G51,I51,('DIAS LABORALES'!$A$1:$A$16))-1</f>
        <v>2</v>
      </c>
      <c r="R51" s="15" t="str">
        <f t="shared" si="2"/>
        <v>Dentro de terminos</v>
      </c>
    </row>
    <row r="52" spans="1:18" ht="30" x14ac:dyDescent="0.25">
      <c r="A52" s="15">
        <v>47</v>
      </c>
      <c r="B52" s="15">
        <v>13</v>
      </c>
      <c r="C52" s="15" t="s">
        <v>108</v>
      </c>
      <c r="D52" s="15">
        <v>195352016</v>
      </c>
      <c r="E52" s="15" t="str">
        <f t="shared" si="7"/>
        <v>Atendido</v>
      </c>
      <c r="F52" s="15" t="s">
        <v>207</v>
      </c>
      <c r="G52" s="16">
        <v>42405</v>
      </c>
      <c r="H52" s="16">
        <f>WORKDAY(G52,IF(C52="SOLICITUD DE COPIA",10,IF(C52="SOLICITUD DE INFORMACIÓN",10,IF(C52="CONSULTA",30,15))),'DIAS LABORALES'!$A$1:$A$16)</f>
        <v>42426</v>
      </c>
      <c r="I52" s="16">
        <v>42423</v>
      </c>
      <c r="J52" s="16" t="s">
        <v>210</v>
      </c>
      <c r="K52" s="15" t="s">
        <v>215</v>
      </c>
      <c r="L52" s="15" t="s">
        <v>33</v>
      </c>
      <c r="M52" s="15" t="s">
        <v>29</v>
      </c>
      <c r="N52" s="15" t="s">
        <v>111</v>
      </c>
      <c r="O52" s="15" t="s">
        <v>285</v>
      </c>
      <c r="P52" s="15" t="str">
        <f t="shared" si="8"/>
        <v>SUB</v>
      </c>
      <c r="Q52" s="17">
        <f>NETWORKDAYS(G52,I52,('DIAS LABORALES'!$A$1:$A$16))-1</f>
        <v>12</v>
      </c>
      <c r="R52" s="15" t="str">
        <f t="shared" si="2"/>
        <v>Dentro de terminos</v>
      </c>
    </row>
    <row r="53" spans="1:18" ht="30" x14ac:dyDescent="0.25">
      <c r="A53" s="15">
        <v>48</v>
      </c>
      <c r="B53" s="15">
        <v>14</v>
      </c>
      <c r="C53" s="15" t="s">
        <v>108</v>
      </c>
      <c r="D53" s="15">
        <v>195432016</v>
      </c>
      <c r="E53" s="15" t="str">
        <f t="shared" si="7"/>
        <v>Atendido</v>
      </c>
      <c r="F53" s="15" t="s">
        <v>208</v>
      </c>
      <c r="G53" s="16">
        <v>42405</v>
      </c>
      <c r="H53" s="16">
        <f>WORKDAY(G53,IF(C53="SOLICITUD DE COPIA",10,IF(C53="SOLICITUD DE INFORMACIÓN",10,IF(C53="CONSULTA",30,15))),'DIAS LABORALES'!$A$1:$A$16)</f>
        <v>42426</v>
      </c>
      <c r="I53" s="16">
        <v>42423</v>
      </c>
      <c r="J53" s="16" t="s">
        <v>211</v>
      </c>
      <c r="K53" s="15" t="s">
        <v>214</v>
      </c>
      <c r="L53" s="15" t="s">
        <v>33</v>
      </c>
      <c r="M53" s="15" t="s">
        <v>29</v>
      </c>
      <c r="N53" s="15" t="s">
        <v>111</v>
      </c>
      <c r="O53" s="15" t="s">
        <v>287</v>
      </c>
      <c r="P53" s="15" t="str">
        <f t="shared" si="8"/>
        <v>SUB</v>
      </c>
      <c r="Q53" s="17">
        <f>NETWORKDAYS(G53,I53,('DIAS LABORALES'!$A$1:$A$16))-1</f>
        <v>12</v>
      </c>
      <c r="R53" s="15" t="str">
        <f t="shared" si="2"/>
        <v>Dentro de terminos</v>
      </c>
    </row>
    <row r="54" spans="1:18" ht="30" x14ac:dyDescent="0.25">
      <c r="A54" s="15">
        <v>49</v>
      </c>
      <c r="B54" s="15">
        <v>15</v>
      </c>
      <c r="C54" s="15" t="s">
        <v>108</v>
      </c>
      <c r="D54" s="15">
        <v>195482016</v>
      </c>
      <c r="E54" s="15" t="str">
        <f t="shared" si="7"/>
        <v>Atendido</v>
      </c>
      <c r="F54" s="15" t="s">
        <v>209</v>
      </c>
      <c r="G54" s="16">
        <v>42405</v>
      </c>
      <c r="H54" s="16">
        <f>WORKDAY(G54,IF(C54="SOLICITUD DE COPIA",10,IF(C54="SOLICITUD DE INFORMACIÓN",10,IF(C54="CONSULTA",30,15))),'DIAS LABORALES'!$A$1:$A$16)</f>
        <v>42426</v>
      </c>
      <c r="I54" s="16">
        <v>42423</v>
      </c>
      <c r="J54" s="16" t="s">
        <v>212</v>
      </c>
      <c r="K54" s="15" t="s">
        <v>213</v>
      </c>
      <c r="L54" s="15" t="s">
        <v>33</v>
      </c>
      <c r="M54" s="15" t="s">
        <v>29</v>
      </c>
      <c r="N54" s="15" t="s">
        <v>111</v>
      </c>
      <c r="O54" s="15" t="s">
        <v>286</v>
      </c>
      <c r="P54" s="15" t="str">
        <f t="shared" si="8"/>
        <v>SUB</v>
      </c>
      <c r="Q54" s="17">
        <f>NETWORKDAYS(G54,I54,('DIAS LABORALES'!$A$1:$A$16))-1</f>
        <v>12</v>
      </c>
      <c r="R54" s="15" t="str">
        <f t="shared" si="2"/>
        <v>Dentro de terminos</v>
      </c>
    </row>
    <row r="55" spans="1:18" ht="30" x14ac:dyDescent="0.25">
      <c r="A55" s="15">
        <v>50</v>
      </c>
      <c r="B55" s="15">
        <v>16</v>
      </c>
      <c r="C55" s="15" t="s">
        <v>72</v>
      </c>
      <c r="D55" s="15">
        <v>211442016</v>
      </c>
      <c r="E55" s="15" t="str">
        <f t="shared" si="7"/>
        <v>Atendido</v>
      </c>
      <c r="F55" s="15" t="s">
        <v>217</v>
      </c>
      <c r="G55" s="16">
        <v>42409</v>
      </c>
      <c r="H55" s="16">
        <f>WORKDAY(G55,IF(C55="SOLICITUD DE COPIA",10,IF(C55="SOLICITUD DE INFORMACIÓN",10,IF(C55="CONSULTA",30,15))),'DIAS LABORALES'!$A$1:$A$16)</f>
        <v>42430</v>
      </c>
      <c r="I55" s="16">
        <v>42426</v>
      </c>
      <c r="J55" s="16" t="s">
        <v>222</v>
      </c>
      <c r="K55" s="15" t="s">
        <v>229</v>
      </c>
      <c r="L55" s="15" t="s">
        <v>177</v>
      </c>
      <c r="M55" s="15" t="s">
        <v>29</v>
      </c>
      <c r="N55" s="15" t="s">
        <v>111</v>
      </c>
      <c r="O55" s="15" t="s">
        <v>298</v>
      </c>
      <c r="P55" s="15" t="str">
        <f t="shared" si="8"/>
        <v>SUB</v>
      </c>
      <c r="Q55" s="17">
        <f>NETWORKDAYS(G55,I55,('DIAS LABORALES'!$A$1:$A$16))-1</f>
        <v>13</v>
      </c>
      <c r="R55" s="15" t="str">
        <f t="shared" si="2"/>
        <v>Dentro de terminos</v>
      </c>
    </row>
    <row r="56" spans="1:18" ht="45" x14ac:dyDescent="0.25">
      <c r="A56" s="15">
        <v>51</v>
      </c>
      <c r="B56" s="15">
        <v>17</v>
      </c>
      <c r="C56" s="15" t="s">
        <v>107</v>
      </c>
      <c r="D56" s="15">
        <v>211542016</v>
      </c>
      <c r="E56" s="15" t="str">
        <f t="shared" ref="E56:E61" si="9">+IF(I56=0,"En Tramite","Atendido")</f>
        <v>Atendido</v>
      </c>
      <c r="F56" s="15" t="s">
        <v>218</v>
      </c>
      <c r="G56" s="16">
        <v>42409</v>
      </c>
      <c r="H56" s="16">
        <f>WORKDAY(G56,IF(C56="SOLICITUD DE COPIA",10,IF(C56="SOLICITUD DE INFORMACIÓN",10,IF(C56="CONSULTA",30,15))),'DIAS LABORALES'!$A$1:$A$16)</f>
        <v>42430</v>
      </c>
      <c r="I56" s="16">
        <v>42430</v>
      </c>
      <c r="J56" s="16" t="s">
        <v>223</v>
      </c>
      <c r="K56" s="15" t="s">
        <v>227</v>
      </c>
      <c r="L56" s="15" t="s">
        <v>31</v>
      </c>
      <c r="M56" s="15" t="s">
        <v>150</v>
      </c>
      <c r="N56" s="15" t="s">
        <v>35</v>
      </c>
      <c r="O56" s="15" t="s">
        <v>301</v>
      </c>
      <c r="P56" s="15" t="str">
        <f t="shared" ref="P56:P104" si="10">LEFT(M56,3)</f>
        <v>BAÑ</v>
      </c>
      <c r="Q56" s="17">
        <f>NETWORKDAYS(G56,I56,('DIAS LABORALES'!$A$1:$A$16))-1</f>
        <v>15</v>
      </c>
      <c r="R56" s="15" t="str">
        <f t="shared" ref="R56:R104" si="11">IF(I56=0,"En Tramite",IF(AND(C56="SOLICITUD DE COPIA",Q56&lt;=10),"Dentro de terminos",IF(AND(C56="SOLICITUD DE INFORMACIÓN",Q56&lt;=10),"Dentro de terminos",IF(AND(OR(C56="DENUNCIA",C56="FELICITACIÓN",C56="QUEJA",C56="RECLAMO",C56="SUGERENCIA",C56="PETICIÓN INTERÉS GENERAL",C56="PETICIÓN INTERÉS PARTICULAR"),Q56&lt;=15),"Dentro de terminos","Fuera de terminos"))))</f>
        <v>Dentro de terminos</v>
      </c>
    </row>
    <row r="57" spans="1:18" ht="30" x14ac:dyDescent="0.25">
      <c r="A57" s="15">
        <v>52</v>
      </c>
      <c r="B57" s="15">
        <v>18</v>
      </c>
      <c r="C57" s="15" t="s">
        <v>107</v>
      </c>
      <c r="D57" s="15">
        <v>211612016</v>
      </c>
      <c r="E57" s="15" t="str">
        <f t="shared" si="9"/>
        <v>Atendido</v>
      </c>
      <c r="F57" s="15" t="s">
        <v>219</v>
      </c>
      <c r="G57" s="16">
        <v>42409</v>
      </c>
      <c r="H57" s="16">
        <f>WORKDAY(G57,IF(C57="SOLICITUD DE COPIA",10,IF(C57="SOLICITUD DE INFORMACIÓN",10,IF(C57="CONSULTA",30,15))),'DIAS LABORALES'!$A$1:$A$16)</f>
        <v>42430</v>
      </c>
      <c r="I57" s="16">
        <v>42430</v>
      </c>
      <c r="J57" s="16" t="s">
        <v>224</v>
      </c>
      <c r="K57" s="15" t="s">
        <v>227</v>
      </c>
      <c r="L57" s="15" t="s">
        <v>31</v>
      </c>
      <c r="M57" s="15" t="s">
        <v>150</v>
      </c>
      <c r="N57" s="15" t="s">
        <v>35</v>
      </c>
      <c r="O57" s="15" t="s">
        <v>302</v>
      </c>
      <c r="P57" s="15" t="str">
        <f t="shared" si="10"/>
        <v>BAÑ</v>
      </c>
      <c r="Q57" s="17">
        <f>NETWORKDAYS(G57,I57,('DIAS LABORALES'!$A$1:$A$16))-1</f>
        <v>15</v>
      </c>
      <c r="R57" s="15" t="str">
        <f t="shared" si="11"/>
        <v>Dentro de terminos</v>
      </c>
    </row>
    <row r="58" spans="1:18" ht="30" x14ac:dyDescent="0.25">
      <c r="A58" s="15">
        <v>53</v>
      </c>
      <c r="B58" s="15">
        <v>19</v>
      </c>
      <c r="C58" s="15" t="s">
        <v>107</v>
      </c>
      <c r="D58" s="15">
        <v>211722016</v>
      </c>
      <c r="E58" s="15" t="str">
        <f t="shared" si="9"/>
        <v>Atendido</v>
      </c>
      <c r="F58" s="15" t="s">
        <v>220</v>
      </c>
      <c r="G58" s="16">
        <v>42409</v>
      </c>
      <c r="H58" s="16">
        <f>WORKDAY(G58,IF(C58="SOLICITUD DE COPIA",10,IF(C58="SOLICITUD DE INFORMACIÓN",10,IF(C58="CONSULTA",30,15))),'DIAS LABORALES'!$A$1:$A$16)</f>
        <v>42430</v>
      </c>
      <c r="I58" s="16">
        <v>42430</v>
      </c>
      <c r="J58" s="16" t="s">
        <v>225</v>
      </c>
      <c r="K58" s="15" t="s">
        <v>227</v>
      </c>
      <c r="L58" s="15" t="s">
        <v>31</v>
      </c>
      <c r="M58" s="15" t="s">
        <v>150</v>
      </c>
      <c r="N58" s="15" t="s">
        <v>35</v>
      </c>
      <c r="O58" s="15" t="s">
        <v>303</v>
      </c>
      <c r="P58" s="15" t="str">
        <f t="shared" si="10"/>
        <v>BAÑ</v>
      </c>
      <c r="Q58" s="17">
        <f>NETWORKDAYS(G58,I58,('DIAS LABORALES'!$A$1:$A$16))-1</f>
        <v>15</v>
      </c>
      <c r="R58" s="15" t="str">
        <f t="shared" si="11"/>
        <v>Dentro de terminos</v>
      </c>
    </row>
    <row r="59" spans="1:18" ht="45" x14ac:dyDescent="0.25">
      <c r="A59" s="15">
        <v>54</v>
      </c>
      <c r="B59" s="15">
        <v>20</v>
      </c>
      <c r="C59" s="15" t="s">
        <v>135</v>
      </c>
      <c r="D59" s="15">
        <v>211972016</v>
      </c>
      <c r="E59" s="15" t="str">
        <f t="shared" si="9"/>
        <v>Atendido</v>
      </c>
      <c r="F59" s="15" t="s">
        <v>221</v>
      </c>
      <c r="G59" s="16">
        <v>42409</v>
      </c>
      <c r="H59" s="16">
        <f>WORKDAY(G59,IF(C59="SOLICITUD DE COPIA",10,IF(C59="SOLICITUD DE INFORMACIÓN",10,IF(C59="CONSULTA",30,15))),'DIAS LABORALES'!$A$1:$A$16)</f>
        <v>42430</v>
      </c>
      <c r="I59" s="16">
        <v>42423</v>
      </c>
      <c r="J59" s="16" t="s">
        <v>226</v>
      </c>
      <c r="K59" s="15" t="s">
        <v>228</v>
      </c>
      <c r="L59" s="15" t="s">
        <v>31</v>
      </c>
      <c r="M59" s="15" t="s">
        <v>29</v>
      </c>
      <c r="N59" s="15" t="s">
        <v>35</v>
      </c>
      <c r="O59" s="15" t="s">
        <v>288</v>
      </c>
      <c r="P59" s="15" t="str">
        <f t="shared" si="10"/>
        <v>SUB</v>
      </c>
      <c r="Q59" s="17">
        <f>NETWORKDAYS(G59,I59,('DIAS LABORALES'!$A$1:$A$16))-1</f>
        <v>10</v>
      </c>
      <c r="R59" s="15" t="str">
        <f t="shared" si="11"/>
        <v>Dentro de terminos</v>
      </c>
    </row>
    <row r="60" spans="1:18" ht="45" x14ac:dyDescent="0.25">
      <c r="A60" s="15">
        <v>55</v>
      </c>
      <c r="B60" s="15">
        <v>21</v>
      </c>
      <c r="C60" s="15" t="s">
        <v>135</v>
      </c>
      <c r="D60" s="15">
        <v>215182016</v>
      </c>
      <c r="E60" s="15" t="str">
        <f t="shared" si="9"/>
        <v>Atendido</v>
      </c>
      <c r="F60" s="15" t="s">
        <v>230</v>
      </c>
      <c r="G60" s="16">
        <v>42409</v>
      </c>
      <c r="H60" s="16">
        <f>WORKDAY(G60,IF(C60="SOLICITUD DE COPIA",10,IF(C60="SOLICITUD DE INFORMACIÓN",10,IF(C60="CONSULTA",30,15))),'DIAS LABORALES'!$A$1:$A$16)</f>
        <v>42430</v>
      </c>
      <c r="I60" s="16">
        <v>42423</v>
      </c>
      <c r="J60" s="16" t="s">
        <v>231</v>
      </c>
      <c r="K60" s="15" t="s">
        <v>232</v>
      </c>
      <c r="L60" s="15" t="s">
        <v>31</v>
      </c>
      <c r="M60" s="15" t="s">
        <v>93</v>
      </c>
      <c r="N60" s="15" t="s">
        <v>35</v>
      </c>
      <c r="O60" s="15" t="s">
        <v>299</v>
      </c>
      <c r="P60" s="15" t="str">
        <f t="shared" si="10"/>
        <v>DES</v>
      </c>
      <c r="Q60" s="17">
        <f>NETWORKDAYS(G60,I60,('DIAS LABORALES'!$A$1:$A$16))-1</f>
        <v>10</v>
      </c>
      <c r="R60" s="15" t="str">
        <f t="shared" si="11"/>
        <v>Dentro de terminos</v>
      </c>
    </row>
    <row r="61" spans="1:18" ht="150" x14ac:dyDescent="0.25">
      <c r="A61" s="15">
        <v>56</v>
      </c>
      <c r="B61" s="15">
        <v>22</v>
      </c>
      <c r="C61" s="15" t="s">
        <v>135</v>
      </c>
      <c r="D61" s="15">
        <v>220712016</v>
      </c>
      <c r="E61" s="15" t="str">
        <f t="shared" si="9"/>
        <v>Atendido</v>
      </c>
      <c r="F61" s="15" t="s">
        <v>27</v>
      </c>
      <c r="G61" s="16">
        <v>42410</v>
      </c>
      <c r="H61" s="16">
        <f>WORKDAY(G61,IF(C61="SOLICITUD DE COPIA",10,IF(C61="SOLICITUD DE INFORMACIÓN",10,IF(C61="CONSULTA",30,15))),'DIAS LABORALES'!$A$1:$A$16)</f>
        <v>42431</v>
      </c>
      <c r="I61" s="16">
        <v>42423</v>
      </c>
      <c r="J61" s="16" t="s">
        <v>392</v>
      </c>
      <c r="K61" s="15" t="s">
        <v>244</v>
      </c>
      <c r="L61" s="15" t="s">
        <v>33</v>
      </c>
      <c r="M61" s="15" t="s">
        <v>29</v>
      </c>
      <c r="N61" s="15" t="s">
        <v>34</v>
      </c>
      <c r="O61" s="15" t="s">
        <v>245</v>
      </c>
      <c r="P61" s="15" t="str">
        <f t="shared" si="10"/>
        <v>SUB</v>
      </c>
      <c r="Q61" s="17">
        <f>NETWORKDAYS(G61,I61,('DIAS LABORALES'!$A$1:$A$16))-1</f>
        <v>9</v>
      </c>
      <c r="R61" s="15" t="str">
        <f t="shared" si="11"/>
        <v>Dentro de terminos</v>
      </c>
    </row>
    <row r="62" spans="1:18" ht="45" x14ac:dyDescent="0.25">
      <c r="A62" s="15">
        <v>57</v>
      </c>
      <c r="B62" s="15">
        <v>23</v>
      </c>
      <c r="C62" s="15" t="s">
        <v>136</v>
      </c>
      <c r="D62" s="15">
        <v>244512016</v>
      </c>
      <c r="E62" s="15" t="str">
        <f t="shared" ref="E62:E76" si="12">+IF(I62=0,"En Tramite","Atendido")</f>
        <v>Atendido</v>
      </c>
      <c r="F62" s="15" t="s">
        <v>235</v>
      </c>
      <c r="G62" s="16">
        <v>42412</v>
      </c>
      <c r="H62" s="16">
        <f>WORKDAY(G62,IF(C62="SOLICITUD DE COPIA",10,IF(C62="SOLICITUD DE INFORMACIÓN",10,IF(C62="CONSULTA",30,15))),'DIAS LABORALES'!$A$1:$A$16)</f>
        <v>42433</v>
      </c>
      <c r="I62" s="16">
        <v>42431</v>
      </c>
      <c r="J62" s="16" t="s">
        <v>246</v>
      </c>
      <c r="K62" s="15" t="s">
        <v>247</v>
      </c>
      <c r="L62" s="15" t="s">
        <v>31</v>
      </c>
      <c r="M62" s="15" t="s">
        <v>150</v>
      </c>
      <c r="N62" s="15" t="s">
        <v>34</v>
      </c>
      <c r="O62" s="15" t="s">
        <v>304</v>
      </c>
      <c r="P62" s="15" t="str">
        <f t="shared" ref="P62:P90" si="13">LEFT(M62,3)</f>
        <v>BAÑ</v>
      </c>
      <c r="Q62" s="17">
        <f>NETWORKDAYS(G62,I62,('DIAS LABORALES'!$A$1:$A$16))-1</f>
        <v>13</v>
      </c>
      <c r="R62" s="15" t="str">
        <f t="shared" ref="R62:R90" si="14">IF(I62=0,"En Tramite",IF(AND(C62="SOLICITUD DE COPIA",Q62&lt;=10),"Dentro de terminos",IF(AND(C62="SOLICITUD DE INFORMACIÓN",Q62&lt;=10),"Dentro de terminos",IF(AND(OR(C62="DENUNCIA",C62="FELICITACIÓN",C62="QUEJA",C62="RECLAMO",C62="SUGERENCIA",C62="PETICIÓN INTERÉS GENERAL",C62="PETICIÓN INTERÉS PARTICULAR"),Q62&lt;=15),"Dentro de terminos","Fuera de terminos"))))</f>
        <v>Dentro de terminos</v>
      </c>
    </row>
    <row r="63" spans="1:18" ht="45" x14ac:dyDescent="0.25">
      <c r="A63" s="15">
        <v>58</v>
      </c>
      <c r="B63" s="15">
        <v>24</v>
      </c>
      <c r="C63" s="15" t="s">
        <v>135</v>
      </c>
      <c r="D63" s="15">
        <v>266622016</v>
      </c>
      <c r="E63" s="15" t="str">
        <f t="shared" si="12"/>
        <v>Atendido</v>
      </c>
      <c r="F63" s="15" t="s">
        <v>237</v>
      </c>
      <c r="G63" s="16">
        <v>42416</v>
      </c>
      <c r="H63" s="16">
        <f>WORKDAY(G63,IF(C63="SOLICITUD DE COPIA",10,IF(C63="SOLICITUD DE INFORMACIÓN",10,IF(C63="CONSULTA",30,15))),'DIAS LABORALES'!$A$1:$A$16)</f>
        <v>42437</v>
      </c>
      <c r="I63" s="16">
        <v>42426</v>
      </c>
      <c r="J63" s="16" t="s">
        <v>248</v>
      </c>
      <c r="K63" s="15" t="s">
        <v>249</v>
      </c>
      <c r="L63" s="15" t="s">
        <v>31</v>
      </c>
      <c r="M63" s="15" t="s">
        <v>77</v>
      </c>
      <c r="N63" s="15" t="s">
        <v>35</v>
      </c>
      <c r="O63" s="15" t="s">
        <v>312</v>
      </c>
      <c r="P63" s="15" t="str">
        <f t="shared" si="13"/>
        <v>JUR</v>
      </c>
      <c r="Q63" s="17">
        <f>NETWORKDAYS(G63,I63,('DIAS LABORALES'!$A$1:$A$16))-1</f>
        <v>8</v>
      </c>
      <c r="R63" s="15" t="str">
        <f>IF(I63=0,"En Tramite",IF(AND(C63="SOLICITUD DE COPIA",Q63&lt;=10),"Dentro de terminos",IF(AND(C63="SOLICITUD DE INFORMACIÓN",Q63&lt;=10),"Dentro de terminos",IF(AND(OR(C63="DENUNCIA",C63="FELICITACIÓN",C63="QUEJA",C63="RECLAMO",C63="SUGERENCIA",C63="PETICIÓN INTERÉS GENERAL",C63="PETICIÓN INTERÉS PARTICULAR"),Q63&lt;=15),"Dentro de terminos","Fuera de terminos"))))</f>
        <v>Dentro de terminos</v>
      </c>
    </row>
    <row r="64" spans="1:18" ht="105" x14ac:dyDescent="0.25">
      <c r="A64" s="15">
        <v>59</v>
      </c>
      <c r="B64" s="15">
        <v>25</v>
      </c>
      <c r="C64" s="15" t="s">
        <v>135</v>
      </c>
      <c r="D64" s="15">
        <v>284502016</v>
      </c>
      <c r="E64" s="15" t="str">
        <f t="shared" si="12"/>
        <v>Atendido</v>
      </c>
      <c r="F64" s="15" t="s">
        <v>27</v>
      </c>
      <c r="G64" s="16">
        <v>42418</v>
      </c>
      <c r="H64" s="16">
        <f>WORKDAY(G64,IF(C64="SOLICITUD DE COPIA",10,IF(C64="SOLICITUD DE INFORMACIÓN",10,IF(C64="CONSULTA",30,15))),'DIAS LABORALES'!$A$1:$A$16)</f>
        <v>42439</v>
      </c>
      <c r="I64" s="16">
        <v>42432</v>
      </c>
      <c r="J64" s="16" t="s">
        <v>250</v>
      </c>
      <c r="K64" s="15" t="s">
        <v>251</v>
      </c>
      <c r="L64" s="15" t="s">
        <v>31</v>
      </c>
      <c r="M64" s="15" t="s">
        <v>29</v>
      </c>
      <c r="N64" s="15" t="s">
        <v>34</v>
      </c>
      <c r="O64" s="15" t="s">
        <v>313</v>
      </c>
      <c r="P64" s="15" t="str">
        <f t="shared" si="13"/>
        <v>SUB</v>
      </c>
      <c r="Q64" s="17">
        <f>NETWORKDAYS(G64,I64,('DIAS LABORALES'!$A$1:$A$16))-1</f>
        <v>10</v>
      </c>
      <c r="R64" s="15" t="str">
        <f t="shared" si="14"/>
        <v>Dentro de terminos</v>
      </c>
    </row>
    <row r="65" spans="1:18" ht="210" x14ac:dyDescent="0.25">
      <c r="A65" s="15">
        <v>60</v>
      </c>
      <c r="B65" s="15">
        <v>26</v>
      </c>
      <c r="C65" s="15" t="s">
        <v>135</v>
      </c>
      <c r="D65" s="15">
        <v>277002016</v>
      </c>
      <c r="E65" s="15" t="str">
        <f t="shared" si="12"/>
        <v>Atendido</v>
      </c>
      <c r="F65" s="15" t="s">
        <v>27</v>
      </c>
      <c r="G65" s="16">
        <v>42418</v>
      </c>
      <c r="H65" s="16">
        <f>WORKDAY(G65,IF(C65="SOLICITUD DE COPIA",10,IF(C65="SOLICITUD DE INFORMACIÓN",10,IF(C65="CONSULTA",30,15))),'DIAS LABORALES'!$A$1:$A$16)</f>
        <v>42439</v>
      </c>
      <c r="I65" s="16">
        <v>42424</v>
      </c>
      <c r="J65" s="16" t="s">
        <v>392</v>
      </c>
      <c r="K65" s="15" t="s">
        <v>252</v>
      </c>
      <c r="L65" s="15" t="s">
        <v>31</v>
      </c>
      <c r="M65" s="15" t="s">
        <v>30</v>
      </c>
      <c r="N65" s="15" t="s">
        <v>34</v>
      </c>
      <c r="O65" s="15" t="s">
        <v>291</v>
      </c>
      <c r="P65" s="15" t="str">
        <f t="shared" si="13"/>
        <v>DIR</v>
      </c>
      <c r="Q65" s="17">
        <f>NETWORKDAYS(G65,I65,('DIAS LABORALES'!$A$1:$A$16))-1</f>
        <v>4</v>
      </c>
      <c r="R65" s="15" t="str">
        <f t="shared" si="14"/>
        <v>Dentro de terminos</v>
      </c>
    </row>
    <row r="66" spans="1:18" ht="45" x14ac:dyDescent="0.25">
      <c r="A66" s="15">
        <v>61</v>
      </c>
      <c r="B66" s="15">
        <v>27</v>
      </c>
      <c r="C66" s="15" t="s">
        <v>135</v>
      </c>
      <c r="D66" s="15">
        <v>292452016</v>
      </c>
      <c r="E66" s="15" t="str">
        <f t="shared" si="12"/>
        <v>Atendido</v>
      </c>
      <c r="F66" s="15" t="s">
        <v>238</v>
      </c>
      <c r="G66" s="16">
        <v>42418</v>
      </c>
      <c r="H66" s="16">
        <f>WORKDAY(G66,IF(C66="SOLICITUD DE COPIA",10,IF(C66="SOLICITUD DE INFORMACIÓN",10,IF(C66="CONSULTA",30,15))),'DIAS LABORALES'!$A$1:$A$16)</f>
        <v>42439</v>
      </c>
      <c r="I66" s="16">
        <v>42437</v>
      </c>
      <c r="J66" s="16" t="s">
        <v>253</v>
      </c>
      <c r="K66" s="15" t="s">
        <v>254</v>
      </c>
      <c r="L66" s="15" t="s">
        <v>31</v>
      </c>
      <c r="M66" s="15" t="s">
        <v>83</v>
      </c>
      <c r="N66" s="15" t="s">
        <v>35</v>
      </c>
      <c r="O66" s="15" t="s">
        <v>334</v>
      </c>
      <c r="P66" s="15" t="str">
        <f t="shared" si="13"/>
        <v>MIS</v>
      </c>
      <c r="Q66" s="17">
        <f>NETWORKDAYS(G66,I66,('DIAS LABORALES'!$A$1:$A$16))-1</f>
        <v>13</v>
      </c>
      <c r="R66" s="15" t="str">
        <f>IF(I66=0,"En Tramite",IF(AND(C66="SOLICITUD DE COPIA",Q66&lt;=10),"Dentro de terminos",IF(AND(C66="SOLICITUD DE INFORMACIÓN",Q66&lt;=10),"Dentro de terminos",IF(AND(OR(C66="DENUNCIA",C66="FELICITACIÓN",C66="QUEJA",C66="RECLAMO",C66="SUGERENCIA",C66="PETICIÓN INTERÉS GENERAL",C66="PETICIÓN INTERÉS PARTICULAR"),Q66&lt;=15),"Dentro de terminos","Fuera de terminos"))))</f>
        <v>Dentro de terminos</v>
      </c>
    </row>
    <row r="67" spans="1:18" ht="45" x14ac:dyDescent="0.25">
      <c r="A67" s="15">
        <v>62</v>
      </c>
      <c r="B67" s="15">
        <v>28</v>
      </c>
      <c r="C67" s="15" t="s">
        <v>135</v>
      </c>
      <c r="D67" s="15">
        <v>296082016</v>
      </c>
      <c r="E67" s="15" t="str">
        <f t="shared" si="12"/>
        <v>Atendido</v>
      </c>
      <c r="F67" s="15" t="s">
        <v>239</v>
      </c>
      <c r="G67" s="16">
        <v>42419</v>
      </c>
      <c r="H67" s="16">
        <f>WORKDAY(G67,IF(C67="SOLICITUD DE COPIA",10,IF(C67="SOLICITUD DE INFORMACIÓN",10,IF(C67="CONSULTA",30,15))),'DIAS LABORALES'!$A$1:$A$16)</f>
        <v>42440</v>
      </c>
      <c r="I67" s="16">
        <v>42432</v>
      </c>
      <c r="J67" s="16" t="s">
        <v>255</v>
      </c>
      <c r="K67" s="15" t="s">
        <v>256</v>
      </c>
      <c r="L67" s="15" t="s">
        <v>31</v>
      </c>
      <c r="M67" s="15" t="s">
        <v>29</v>
      </c>
      <c r="N67" s="15" t="s">
        <v>35</v>
      </c>
      <c r="O67" s="15" t="s">
        <v>335</v>
      </c>
      <c r="P67" s="15" t="str">
        <f t="shared" si="13"/>
        <v>SUB</v>
      </c>
      <c r="Q67" s="17">
        <f>NETWORKDAYS(G67,I67,('DIAS LABORALES'!$A$1:$A$16))-1</f>
        <v>9</v>
      </c>
      <c r="R67" s="15" t="str">
        <f t="shared" si="14"/>
        <v>Dentro de terminos</v>
      </c>
    </row>
    <row r="68" spans="1:18" ht="90" x14ac:dyDescent="0.25">
      <c r="A68" s="15">
        <v>63</v>
      </c>
      <c r="B68" s="15">
        <v>29</v>
      </c>
      <c r="C68" s="15" t="s">
        <v>136</v>
      </c>
      <c r="D68" s="15">
        <v>291902016</v>
      </c>
      <c r="E68" s="15" t="str">
        <f t="shared" si="12"/>
        <v>Atendido</v>
      </c>
      <c r="F68" s="15" t="s">
        <v>27</v>
      </c>
      <c r="G68" s="16">
        <v>42419</v>
      </c>
      <c r="H68" s="16">
        <f>WORKDAY(G68,IF(C68="SOLICITUD DE COPIA",10,IF(C68="SOLICITUD DE INFORMACIÓN",10,IF(C68="CONSULTA",30,15))),'DIAS LABORALES'!$A$1:$A$16)</f>
        <v>42440</v>
      </c>
      <c r="I68" s="16">
        <v>42432</v>
      </c>
      <c r="J68" s="16" t="s">
        <v>257</v>
      </c>
      <c r="K68" s="15" t="s">
        <v>258</v>
      </c>
      <c r="L68" s="15" t="s">
        <v>259</v>
      </c>
      <c r="M68" s="15" t="s">
        <v>29</v>
      </c>
      <c r="N68" s="15" t="s">
        <v>34</v>
      </c>
      <c r="O68" s="15" t="s">
        <v>314</v>
      </c>
      <c r="P68" s="15" t="str">
        <f t="shared" si="13"/>
        <v>SUB</v>
      </c>
      <c r="Q68" s="17">
        <f>NETWORKDAYS(G68,I68,('DIAS LABORALES'!$A$1:$A$16))-1</f>
        <v>9</v>
      </c>
      <c r="R68" s="15" t="str">
        <f t="shared" si="14"/>
        <v>Dentro de terminos</v>
      </c>
    </row>
    <row r="69" spans="1:18" ht="30" x14ac:dyDescent="0.25">
      <c r="A69" s="15">
        <v>64</v>
      </c>
      <c r="B69" s="15">
        <v>30</v>
      </c>
      <c r="C69" s="15" t="s">
        <v>72</v>
      </c>
      <c r="D69" s="15">
        <v>322152016</v>
      </c>
      <c r="E69" s="15" t="str">
        <f t="shared" si="12"/>
        <v>Atendido</v>
      </c>
      <c r="F69" s="15" t="s">
        <v>240</v>
      </c>
      <c r="G69" s="16">
        <v>42423</v>
      </c>
      <c r="H69" s="16">
        <f>WORKDAY(G69,IF(C69="SOLICITUD DE COPIA",10,IF(C69="SOLICITUD DE INFORMACIÓN",10,IF(C69="CONSULTA",30,15))),'DIAS LABORALES'!$A$1:$A$16)</f>
        <v>42444</v>
      </c>
      <c r="I69" s="16">
        <v>42437</v>
      </c>
      <c r="J69" s="16" t="s">
        <v>260</v>
      </c>
      <c r="K69" s="15" t="s">
        <v>261</v>
      </c>
      <c r="L69" s="15" t="s">
        <v>177</v>
      </c>
      <c r="M69" s="15" t="s">
        <v>29</v>
      </c>
      <c r="N69" s="15" t="s">
        <v>35</v>
      </c>
      <c r="O69" s="15" t="s">
        <v>336</v>
      </c>
      <c r="P69" s="15" t="str">
        <f t="shared" si="13"/>
        <v>SUB</v>
      </c>
      <c r="Q69" s="17">
        <f>NETWORKDAYS(G69,I69,('DIAS LABORALES'!$A$1:$A$16))-1</f>
        <v>10</v>
      </c>
      <c r="R69" s="15" t="str">
        <f t="shared" si="14"/>
        <v>Dentro de terminos</v>
      </c>
    </row>
    <row r="70" spans="1:18" ht="30" x14ac:dyDescent="0.25">
      <c r="A70" s="15">
        <v>65</v>
      </c>
      <c r="B70" s="15">
        <v>31</v>
      </c>
      <c r="C70" s="15" t="s">
        <v>107</v>
      </c>
      <c r="D70" s="15">
        <v>325232016</v>
      </c>
      <c r="E70" s="15" t="str">
        <f t="shared" si="12"/>
        <v>Atendido</v>
      </c>
      <c r="F70" s="15" t="s">
        <v>241</v>
      </c>
      <c r="G70" s="16">
        <v>42424</v>
      </c>
      <c r="H70" s="16">
        <f>WORKDAY(G70,IF(C70="SOLICITUD DE COPIA",10,IF(C70="SOLICITUD DE INFORMACIÓN",10,IF(C70="CONSULTA",30,15))),'DIAS LABORALES'!$A$1:$A$16)</f>
        <v>42445</v>
      </c>
      <c r="I70" s="16">
        <v>42438</v>
      </c>
      <c r="J70" s="16" t="s">
        <v>262</v>
      </c>
      <c r="K70" s="15" t="s">
        <v>263</v>
      </c>
      <c r="L70" s="15" t="s">
        <v>31</v>
      </c>
      <c r="M70" s="15" t="s">
        <v>83</v>
      </c>
      <c r="N70" s="15" t="s">
        <v>35</v>
      </c>
      <c r="O70" s="15" t="s">
        <v>337</v>
      </c>
      <c r="P70" s="15" t="str">
        <f t="shared" si="13"/>
        <v>MIS</v>
      </c>
      <c r="Q70" s="17">
        <f>NETWORKDAYS(G70,I70,('DIAS LABORALES'!$A$1:$A$16))-1</f>
        <v>10</v>
      </c>
      <c r="R70" s="15" t="str">
        <f t="shared" si="14"/>
        <v>Dentro de terminos</v>
      </c>
    </row>
    <row r="71" spans="1:18" ht="60" x14ac:dyDescent="0.25">
      <c r="A71" s="15">
        <v>66</v>
      </c>
      <c r="B71" s="15">
        <v>32</v>
      </c>
      <c r="C71" s="15" t="s">
        <v>81</v>
      </c>
      <c r="D71" s="15">
        <v>325292016</v>
      </c>
      <c r="E71" s="15" t="str">
        <f t="shared" si="12"/>
        <v>Atendido</v>
      </c>
      <c r="F71" s="15" t="s">
        <v>242</v>
      </c>
      <c r="G71" s="16">
        <v>42424</v>
      </c>
      <c r="H71" s="16">
        <f>WORKDAY(G71,IF(C71="SOLICITUD DE COPIA",10,IF(C71="SOLICITUD DE INFORMACIÓN",10,IF(C71="CONSULTA",30,15))),'DIAS LABORALES'!$A$1:$A$16)</f>
        <v>42438</v>
      </c>
      <c r="I71" s="16">
        <v>42438</v>
      </c>
      <c r="J71" s="16" t="s">
        <v>264</v>
      </c>
      <c r="K71" s="15" t="s">
        <v>265</v>
      </c>
      <c r="L71" s="15" t="s">
        <v>31</v>
      </c>
      <c r="M71" s="15" t="s">
        <v>83</v>
      </c>
      <c r="N71" s="15" t="s">
        <v>35</v>
      </c>
      <c r="O71" s="15" t="s">
        <v>338</v>
      </c>
      <c r="P71" s="15" t="str">
        <f t="shared" si="13"/>
        <v>MIS</v>
      </c>
      <c r="Q71" s="17">
        <f>NETWORKDAYS(G71,I71,('DIAS LABORALES'!$A$1:$A$16))-1</f>
        <v>10</v>
      </c>
      <c r="R71" s="15" t="str">
        <f t="shared" si="14"/>
        <v>Dentro de terminos</v>
      </c>
    </row>
    <row r="72" spans="1:18" ht="30" x14ac:dyDescent="0.25">
      <c r="A72" s="15">
        <v>67</v>
      </c>
      <c r="B72" s="15">
        <v>33</v>
      </c>
      <c r="C72" s="15" t="s">
        <v>72</v>
      </c>
      <c r="D72" s="15">
        <v>347462016</v>
      </c>
      <c r="E72" s="15" t="str">
        <f t="shared" si="12"/>
        <v>Atendido</v>
      </c>
      <c r="F72" s="15" t="s">
        <v>243</v>
      </c>
      <c r="G72" s="16">
        <v>42426</v>
      </c>
      <c r="H72" s="16">
        <f>WORKDAY(G72,IF(C72="SOLICITUD DE COPIA",10,IF(C72="SOLICITUD DE INFORMACIÓN",10,IF(C72="CONSULTA",30,15))),'DIAS LABORALES'!$A$1:$A$16)</f>
        <v>42447</v>
      </c>
      <c r="I72" s="16">
        <v>42447</v>
      </c>
      <c r="J72" s="16" t="s">
        <v>266</v>
      </c>
      <c r="K72" s="15" t="s">
        <v>267</v>
      </c>
      <c r="L72" s="15" t="s">
        <v>177</v>
      </c>
      <c r="M72" s="15" t="s">
        <v>78</v>
      </c>
      <c r="N72" s="15" t="s">
        <v>35</v>
      </c>
      <c r="O72" s="15" t="s">
        <v>385</v>
      </c>
      <c r="P72" s="15" t="str">
        <f t="shared" si="13"/>
        <v>SUB</v>
      </c>
      <c r="Q72" s="17">
        <f>NETWORKDAYS(G72,I72,('DIAS LABORALES'!$A$1:$A$16))-1</f>
        <v>15</v>
      </c>
      <c r="R72" s="15" t="str">
        <f t="shared" si="14"/>
        <v>Dentro de terminos</v>
      </c>
    </row>
    <row r="73" spans="1:18" ht="30" x14ac:dyDescent="0.25">
      <c r="A73" s="15">
        <v>68</v>
      </c>
      <c r="B73" s="15">
        <v>34</v>
      </c>
      <c r="C73" s="15" t="s">
        <v>81</v>
      </c>
      <c r="D73" s="15">
        <v>304372016</v>
      </c>
      <c r="E73" s="15" t="str">
        <f t="shared" si="12"/>
        <v>Atendido</v>
      </c>
      <c r="F73" s="15" t="s">
        <v>27</v>
      </c>
      <c r="G73" s="16">
        <v>42424</v>
      </c>
      <c r="H73" s="16">
        <f>WORKDAY(G73,IF(C73="SOLICITUD DE COPIA",10,IF(C73="SOLICITUD DE INFORMACIÓN",10,IF(C73="CONSULTA",30,15))),'DIAS LABORALES'!$A$1:$A$16)</f>
        <v>42438</v>
      </c>
      <c r="I73" s="16">
        <v>42429</v>
      </c>
      <c r="J73" s="16" t="s">
        <v>268</v>
      </c>
      <c r="K73" s="15" t="s">
        <v>236</v>
      </c>
      <c r="L73" s="15" t="s">
        <v>31</v>
      </c>
      <c r="M73" s="15" t="s">
        <v>150</v>
      </c>
      <c r="N73" s="15" t="s">
        <v>34</v>
      </c>
      <c r="O73" s="15" t="s">
        <v>340</v>
      </c>
      <c r="P73" s="15" t="str">
        <f t="shared" si="13"/>
        <v>BAÑ</v>
      </c>
      <c r="Q73" s="17">
        <f>NETWORKDAYS(G73,I73,('DIAS LABORALES'!$A$1:$A$16))-1</f>
        <v>3</v>
      </c>
      <c r="R73" s="15" t="str">
        <f t="shared" si="14"/>
        <v>Dentro de terminos</v>
      </c>
    </row>
    <row r="74" spans="1:18" ht="45" x14ac:dyDescent="0.25">
      <c r="A74" s="15">
        <v>69</v>
      </c>
      <c r="B74" s="15">
        <v>35</v>
      </c>
      <c r="C74" s="15" t="s">
        <v>135</v>
      </c>
      <c r="D74" s="15">
        <v>328252016</v>
      </c>
      <c r="E74" s="15" t="str">
        <f t="shared" si="12"/>
        <v>Atendido</v>
      </c>
      <c r="F74" s="15" t="s">
        <v>27</v>
      </c>
      <c r="G74" s="16">
        <v>42426</v>
      </c>
      <c r="H74" s="16">
        <f>WORKDAY(G74,IF(C74="SOLICITUD DE COPIA",10,IF(C74="SOLICITUD DE INFORMACIÓN",10,IF(C74="CONSULTA",30,15))),'DIAS LABORALES'!$A$1:$A$16)</f>
        <v>42447</v>
      </c>
      <c r="I74" s="16">
        <v>42440</v>
      </c>
      <c r="J74" s="16" t="s">
        <v>269</v>
      </c>
      <c r="K74" s="15" t="s">
        <v>270</v>
      </c>
      <c r="L74" s="15" t="s">
        <v>31</v>
      </c>
      <c r="M74" s="15" t="s">
        <v>29</v>
      </c>
      <c r="N74" s="15" t="s">
        <v>34</v>
      </c>
      <c r="O74" s="15" t="s">
        <v>339</v>
      </c>
      <c r="P74" s="15" t="str">
        <f t="shared" si="13"/>
        <v>SUB</v>
      </c>
      <c r="Q74" s="17">
        <f>NETWORKDAYS(G74,I74,('DIAS LABORALES'!$A$1:$A$16))-1</f>
        <v>10</v>
      </c>
      <c r="R74" s="15" t="str">
        <f t="shared" si="14"/>
        <v>Dentro de terminos</v>
      </c>
    </row>
    <row r="75" spans="1:18" ht="285" x14ac:dyDescent="0.25">
      <c r="A75" s="15">
        <v>70</v>
      </c>
      <c r="B75" s="15">
        <v>36</v>
      </c>
      <c r="C75" s="15" t="s">
        <v>72</v>
      </c>
      <c r="D75" s="15">
        <v>345912016</v>
      </c>
      <c r="E75" s="15" t="str">
        <f t="shared" si="12"/>
        <v>Atendido</v>
      </c>
      <c r="F75" s="15" t="s">
        <v>27</v>
      </c>
      <c r="G75" s="16">
        <v>42426</v>
      </c>
      <c r="H75" s="16">
        <f>WORKDAY(G75,IF(C75="SOLICITUD DE COPIA",10,IF(C75="SOLICITUD DE INFORMACIÓN",10,IF(C75="CONSULTA",30,15))),'DIAS LABORALES'!$A$1:$A$16)</f>
        <v>42447</v>
      </c>
      <c r="I75" s="16">
        <v>42432</v>
      </c>
      <c r="J75" s="16" t="s">
        <v>392</v>
      </c>
      <c r="K75" s="15" t="s">
        <v>271</v>
      </c>
      <c r="L75" s="15" t="s">
        <v>177</v>
      </c>
      <c r="M75" s="15" t="s">
        <v>77</v>
      </c>
      <c r="N75" s="15" t="s">
        <v>34</v>
      </c>
      <c r="O75" s="15" t="s">
        <v>341</v>
      </c>
      <c r="P75" s="15" t="str">
        <f t="shared" si="13"/>
        <v>JUR</v>
      </c>
      <c r="Q75" s="17">
        <f>NETWORKDAYS(G75,I75,('DIAS LABORALES'!$A$1:$A$16))-1</f>
        <v>4</v>
      </c>
      <c r="R75" s="15" t="str">
        <f t="shared" si="14"/>
        <v>Dentro de terminos</v>
      </c>
    </row>
    <row r="76" spans="1:18" ht="60" x14ac:dyDescent="0.25">
      <c r="A76" s="15">
        <v>71</v>
      </c>
      <c r="B76" s="15">
        <v>1</v>
      </c>
      <c r="C76" s="15" t="s">
        <v>135</v>
      </c>
      <c r="D76" s="15">
        <v>356022016</v>
      </c>
      <c r="E76" s="15" t="str">
        <f t="shared" si="12"/>
        <v>Atendido</v>
      </c>
      <c r="F76" s="15" t="s">
        <v>272</v>
      </c>
      <c r="G76" s="16">
        <v>42430</v>
      </c>
      <c r="H76" s="16">
        <f>WORKDAY(G76,IF(C76="SOLICITUD DE COPIA",10,IF(C76="SOLICITUD DE INFORMACIÓN",10,IF(C76="CONSULTA",30,15))),'DIAS LABORALES'!$A$1:$A$16)</f>
        <v>42452</v>
      </c>
      <c r="I76" s="16">
        <v>42446</v>
      </c>
      <c r="J76" s="16" t="s">
        <v>275</v>
      </c>
      <c r="K76" s="15" t="s">
        <v>276</v>
      </c>
      <c r="L76" s="15" t="s">
        <v>31</v>
      </c>
      <c r="M76" s="15" t="s">
        <v>29</v>
      </c>
      <c r="N76" s="15" t="s">
        <v>34</v>
      </c>
      <c r="O76" s="15" t="s">
        <v>386</v>
      </c>
      <c r="P76" s="15" t="str">
        <f t="shared" si="13"/>
        <v>SUB</v>
      </c>
      <c r="Q76" s="17">
        <f>NETWORKDAYS(G76,I76,('DIAS LABORALES'!$A$1:$A$16))-1</f>
        <v>12</v>
      </c>
      <c r="R76" s="15" t="str">
        <f t="shared" si="14"/>
        <v>Dentro de terminos</v>
      </c>
    </row>
    <row r="77" spans="1:18" ht="90" x14ac:dyDescent="0.25">
      <c r="A77" s="15">
        <v>72</v>
      </c>
      <c r="B77" s="15">
        <v>2</v>
      </c>
      <c r="C77" s="15" t="s">
        <v>81</v>
      </c>
      <c r="D77" s="15">
        <v>355882016</v>
      </c>
      <c r="E77" s="15" t="str">
        <f t="shared" ref="E77:E104" si="15">+IF(I77=0,"En Tramite","Atendido")</f>
        <v>Atendido</v>
      </c>
      <c r="F77" s="15" t="s">
        <v>273</v>
      </c>
      <c r="G77" s="16">
        <v>42430</v>
      </c>
      <c r="H77" s="16">
        <f>WORKDAY(G77,IF(C77="SOLICITUD DE COPIA",10,IF(C77="SOLICITUD DE INFORMACIÓN",10,IF(C77="CONSULTA",30,15))),'DIAS LABORALES'!$A$1:$A$16)</f>
        <v>42444</v>
      </c>
      <c r="I77" s="16">
        <v>42440</v>
      </c>
      <c r="J77" s="16" t="s">
        <v>274</v>
      </c>
      <c r="K77" s="15" t="s">
        <v>277</v>
      </c>
      <c r="L77" s="15" t="s">
        <v>79</v>
      </c>
      <c r="M77" s="15" t="s">
        <v>29</v>
      </c>
      <c r="N77" s="15" t="s">
        <v>34</v>
      </c>
      <c r="O77" s="15" t="s">
        <v>355</v>
      </c>
      <c r="P77" s="15" t="str">
        <f t="shared" ref="P77" si="16">LEFT(M77,3)</f>
        <v>SUB</v>
      </c>
      <c r="Q77" s="17">
        <f>NETWORKDAYS(G77,I77,('DIAS LABORALES'!$A$1:$A$16))-1</f>
        <v>8</v>
      </c>
      <c r="R77" s="15" t="str">
        <f t="shared" ref="R77" si="17">IF(I77=0,"En Tramite",IF(AND(C77="SOLICITUD DE COPIA",Q77&lt;=10),"Dentro de terminos",IF(AND(C77="SOLICITUD DE INFORMACIÓN",Q77&lt;=10),"Dentro de terminos",IF(AND(OR(C77="DENUNCIA",C77="FELICITACIÓN",C77="QUEJA",C77="RECLAMO",C77="SUGERENCIA",C77="PETICIÓN INTERÉS GENERAL",C77="PETICIÓN INTERÉS PARTICULAR"),Q77&lt;=15),"Dentro de terminos","Fuera de terminos"))))</f>
        <v>Dentro de terminos</v>
      </c>
    </row>
    <row r="78" spans="1:18" ht="45" x14ac:dyDescent="0.25">
      <c r="A78" s="15">
        <v>73</v>
      </c>
      <c r="B78" s="15">
        <v>3</v>
      </c>
      <c r="C78" s="15" t="s">
        <v>136</v>
      </c>
      <c r="D78" s="15">
        <v>378042016</v>
      </c>
      <c r="E78" s="15" t="str">
        <f t="shared" si="15"/>
        <v>Atendido</v>
      </c>
      <c r="F78" s="15" t="s">
        <v>310</v>
      </c>
      <c r="G78" s="16">
        <v>42432</v>
      </c>
      <c r="H78" s="16">
        <f>WORKDAY(G78,IF(C78="SOLICITUD DE COPIA",10,IF(C78="SOLICITUD DE INFORMACIÓN",10,IF(C78="CONSULTA",30,15))),'DIAS LABORALES'!$A$1:$A$16)</f>
        <v>42458</v>
      </c>
      <c r="I78" s="16">
        <v>42458</v>
      </c>
      <c r="J78" s="16" t="s">
        <v>305</v>
      </c>
      <c r="K78" s="15" t="s">
        <v>306</v>
      </c>
      <c r="L78" s="15" t="s">
        <v>31</v>
      </c>
      <c r="M78" s="15" t="s">
        <v>93</v>
      </c>
      <c r="N78" s="15" t="s">
        <v>35</v>
      </c>
      <c r="O78" s="15" t="s">
        <v>405</v>
      </c>
      <c r="P78" s="15" t="str">
        <f t="shared" si="13"/>
        <v>DES</v>
      </c>
      <c r="Q78" s="17">
        <f>NETWORKDAYS(G78,I78,('DIAS LABORALES'!$A$1:$A$16))-1</f>
        <v>15</v>
      </c>
      <c r="R78" s="15" t="str">
        <f t="shared" si="14"/>
        <v>Dentro de terminos</v>
      </c>
    </row>
    <row r="79" spans="1:18" ht="165" x14ac:dyDescent="0.25">
      <c r="A79" s="15">
        <v>74</v>
      </c>
      <c r="B79" s="15">
        <v>4</v>
      </c>
      <c r="C79" s="15" t="s">
        <v>81</v>
      </c>
      <c r="D79" s="15">
        <v>358942016</v>
      </c>
      <c r="E79" s="15" t="str">
        <f t="shared" si="15"/>
        <v>Atendido</v>
      </c>
      <c r="F79" s="15" t="s">
        <v>27</v>
      </c>
      <c r="G79" s="16">
        <v>42432</v>
      </c>
      <c r="H79" s="16">
        <f>WORKDAY(G79,IF(C79="SOLICITUD DE COPIA",10,IF(C79="SOLICITUD DE INFORMACIÓN",10,IF(C79="CONSULTA",30,15))),'DIAS LABORALES'!$A$1:$A$16)</f>
        <v>42446</v>
      </c>
      <c r="I79" s="16">
        <v>42446</v>
      </c>
      <c r="J79" s="16" t="s">
        <v>63</v>
      </c>
      <c r="K79" s="15" t="s">
        <v>307</v>
      </c>
      <c r="L79" s="15" t="s">
        <v>31</v>
      </c>
      <c r="M79" s="15" t="s">
        <v>52</v>
      </c>
      <c r="N79" s="15" t="s">
        <v>35</v>
      </c>
      <c r="O79" s="15" t="s">
        <v>387</v>
      </c>
      <c r="P79" s="15" t="str">
        <f t="shared" si="13"/>
        <v>PLA</v>
      </c>
      <c r="Q79" s="17">
        <f>NETWORKDAYS(G79,I79,('DIAS LABORALES'!$A$1:$A$16))-1</f>
        <v>10</v>
      </c>
      <c r="R79" s="15" t="str">
        <f t="shared" si="14"/>
        <v>Dentro de terminos</v>
      </c>
    </row>
    <row r="80" spans="1:18" ht="45" x14ac:dyDescent="0.25">
      <c r="A80" s="15">
        <v>75</v>
      </c>
      <c r="B80" s="15">
        <v>5</v>
      </c>
      <c r="C80" s="15" t="s">
        <v>135</v>
      </c>
      <c r="D80" s="15">
        <v>380562016</v>
      </c>
      <c r="E80" s="15" t="str">
        <f t="shared" si="15"/>
        <v>Atendido</v>
      </c>
      <c r="F80" s="15" t="s">
        <v>311</v>
      </c>
      <c r="G80" s="16">
        <v>42432</v>
      </c>
      <c r="H80" s="16">
        <f>WORKDAY(G80,IF(C80="SOLICITUD DE COPIA",10,IF(C80="SOLICITUD DE INFORMACIÓN",10,IF(C80="CONSULTA",30,15))),'DIAS LABORALES'!$A$1:$A$16)</f>
        <v>42458</v>
      </c>
      <c r="I80" s="16">
        <v>42446</v>
      </c>
      <c r="J80" s="16" t="s">
        <v>308</v>
      </c>
      <c r="K80" s="15" t="s">
        <v>309</v>
      </c>
      <c r="L80" s="15" t="s">
        <v>31</v>
      </c>
      <c r="M80" s="15" t="s">
        <v>93</v>
      </c>
      <c r="N80" s="15" t="s">
        <v>35</v>
      </c>
      <c r="O80" s="15" t="s">
        <v>396</v>
      </c>
      <c r="P80" s="15" t="str">
        <f t="shared" si="13"/>
        <v>DES</v>
      </c>
      <c r="Q80" s="17">
        <f>NETWORKDAYS(G80,I80,('DIAS LABORALES'!$A$1:$A$16))-1</f>
        <v>10</v>
      </c>
      <c r="R80" s="15" t="str">
        <f t="shared" si="14"/>
        <v>Dentro de terminos</v>
      </c>
    </row>
    <row r="81" spans="1:18" ht="45" x14ac:dyDescent="0.25">
      <c r="A81" s="15">
        <v>76</v>
      </c>
      <c r="B81" s="15">
        <v>6</v>
      </c>
      <c r="C81" s="15" t="s">
        <v>135</v>
      </c>
      <c r="D81" s="15">
        <v>401802016</v>
      </c>
      <c r="E81" s="15" t="str">
        <f t="shared" si="15"/>
        <v>Atendido</v>
      </c>
      <c r="F81" s="15" t="s">
        <v>315</v>
      </c>
      <c r="G81" s="16">
        <v>42436</v>
      </c>
      <c r="H81" s="16">
        <f>WORKDAY(G81,IF(C81="SOLICITUD DE COPIA",10,IF(C81="SOLICITUD DE INFORMACIÓN",10,IF(C81="CONSULTA",30,15))),'DIAS LABORALES'!$A$1:$A$16)</f>
        <v>42460</v>
      </c>
      <c r="I81" s="16">
        <v>42458</v>
      </c>
      <c r="J81" s="16" t="s">
        <v>320</v>
      </c>
      <c r="K81" s="15" t="s">
        <v>318</v>
      </c>
      <c r="L81" s="15" t="s">
        <v>31</v>
      </c>
      <c r="M81" s="15" t="s">
        <v>83</v>
      </c>
      <c r="N81" s="15" t="s">
        <v>35</v>
      </c>
      <c r="O81" s="15" t="s">
        <v>408</v>
      </c>
      <c r="P81" s="15" t="str">
        <f t="shared" si="13"/>
        <v>MIS</v>
      </c>
      <c r="Q81" s="17">
        <f>NETWORKDAYS(G81,I81,('DIAS LABORALES'!$A$1:$A$16))-1</f>
        <v>13</v>
      </c>
      <c r="R81" s="15" t="str">
        <f t="shared" si="14"/>
        <v>Dentro de terminos</v>
      </c>
    </row>
    <row r="82" spans="1:18" ht="45" x14ac:dyDescent="0.25">
      <c r="A82" s="15">
        <v>77</v>
      </c>
      <c r="B82" s="15">
        <v>7</v>
      </c>
      <c r="C82" s="15" t="s">
        <v>135</v>
      </c>
      <c r="D82" s="15">
        <v>401922016</v>
      </c>
      <c r="E82" s="15" t="str">
        <f t="shared" si="15"/>
        <v>Atendido</v>
      </c>
      <c r="F82" s="15" t="s">
        <v>316</v>
      </c>
      <c r="G82" s="16">
        <v>42436</v>
      </c>
      <c r="H82" s="16">
        <f>WORKDAY(G82,IF(C82="SOLICITUD DE COPIA",10,IF(C82="SOLICITUD DE INFORMACIÓN",10,IF(C82="CONSULTA",30,15))),'DIAS LABORALES'!$A$1:$A$16)</f>
        <v>42460</v>
      </c>
      <c r="I82" s="16">
        <v>42458</v>
      </c>
      <c r="J82" s="16" t="s">
        <v>317</v>
      </c>
      <c r="K82" s="15" t="s">
        <v>319</v>
      </c>
      <c r="L82" s="15" t="s">
        <v>31</v>
      </c>
      <c r="M82" s="15" t="s">
        <v>83</v>
      </c>
      <c r="N82" s="15" t="s">
        <v>35</v>
      </c>
      <c r="O82" s="15" t="s">
        <v>409</v>
      </c>
      <c r="P82" s="15" t="str">
        <f t="shared" si="13"/>
        <v>MIS</v>
      </c>
      <c r="Q82" s="17">
        <f>NETWORKDAYS(G82,I82,('DIAS LABORALES'!$A$1:$A$16))-1</f>
        <v>13</v>
      </c>
      <c r="R82" s="15" t="str">
        <f t="shared" si="14"/>
        <v>Dentro de terminos</v>
      </c>
    </row>
    <row r="83" spans="1:18" ht="45" x14ac:dyDescent="0.25">
      <c r="A83" s="15">
        <v>78</v>
      </c>
      <c r="B83" s="15">
        <v>8</v>
      </c>
      <c r="C83" s="15" t="s">
        <v>135</v>
      </c>
      <c r="D83" s="15">
        <v>412962016</v>
      </c>
      <c r="E83" s="15" t="str">
        <f t="shared" si="15"/>
        <v>Atendido</v>
      </c>
      <c r="F83" s="15" t="s">
        <v>321</v>
      </c>
      <c r="G83" s="16">
        <v>42437</v>
      </c>
      <c r="H83" s="16">
        <f>WORKDAY(G83,IF(C83="SOLICITUD DE COPIA",10,IF(C83="SOLICITUD DE INFORMACIÓN",10,IF(C83="CONSULTA",30,15))),'DIAS LABORALES'!$A$1:$A$16)</f>
        <v>42461</v>
      </c>
      <c r="I83" s="16">
        <v>42458</v>
      </c>
      <c r="J83" s="16" t="s">
        <v>322</v>
      </c>
      <c r="K83" s="15" t="s">
        <v>323</v>
      </c>
      <c r="L83" s="15" t="s">
        <v>31</v>
      </c>
      <c r="M83" s="15" t="s">
        <v>83</v>
      </c>
      <c r="N83" s="15" t="s">
        <v>35</v>
      </c>
      <c r="O83" s="15" t="s">
        <v>410</v>
      </c>
      <c r="P83" s="15" t="str">
        <f t="shared" si="13"/>
        <v>MIS</v>
      </c>
      <c r="Q83" s="17">
        <f>NETWORKDAYS(G83,I83,('DIAS LABORALES'!$A$1:$A$16))-1</f>
        <v>12</v>
      </c>
      <c r="R83" s="15" t="str">
        <f t="shared" si="14"/>
        <v>Dentro de terminos</v>
      </c>
    </row>
    <row r="84" spans="1:18" ht="45" x14ac:dyDescent="0.25">
      <c r="A84" s="15">
        <v>79</v>
      </c>
      <c r="B84" s="15">
        <v>9</v>
      </c>
      <c r="C84" s="15" t="s">
        <v>135</v>
      </c>
      <c r="D84" s="15">
        <v>402092016</v>
      </c>
      <c r="E84" s="15" t="str">
        <f t="shared" si="15"/>
        <v>Atendido</v>
      </c>
      <c r="F84" s="15" t="s">
        <v>27</v>
      </c>
      <c r="G84" s="16">
        <v>42437</v>
      </c>
      <c r="H84" s="16">
        <f>WORKDAY(G84,IF(C84="SOLICITUD DE COPIA",10,IF(C84="SOLICITUD DE INFORMACIÓN",10,IF(C84="CONSULTA",30,15))),'DIAS LABORALES'!$A$1:$A$16)</f>
        <v>42461</v>
      </c>
      <c r="I84" s="16">
        <v>42444</v>
      </c>
      <c r="J84" s="16" t="s">
        <v>324</v>
      </c>
      <c r="K84" s="15" t="s">
        <v>325</v>
      </c>
      <c r="L84" s="15" t="s">
        <v>31</v>
      </c>
      <c r="M84" s="15" t="s">
        <v>93</v>
      </c>
      <c r="N84" s="15" t="s">
        <v>34</v>
      </c>
      <c r="O84" s="15" t="s">
        <v>388</v>
      </c>
      <c r="P84" s="15" t="str">
        <f t="shared" si="13"/>
        <v>DES</v>
      </c>
      <c r="Q84" s="17">
        <f>NETWORKDAYS(G84,I84,('DIAS LABORALES'!$A$1:$A$16))-1</f>
        <v>5</v>
      </c>
      <c r="R84" s="15" t="str">
        <f t="shared" si="14"/>
        <v>Dentro de terminos</v>
      </c>
    </row>
    <row r="85" spans="1:18" ht="30" x14ac:dyDescent="0.25">
      <c r="A85" s="15">
        <v>80</v>
      </c>
      <c r="B85" s="15">
        <v>10</v>
      </c>
      <c r="C85" s="15" t="s">
        <v>108</v>
      </c>
      <c r="D85" s="15">
        <v>434862016</v>
      </c>
      <c r="E85" s="15" t="str">
        <f t="shared" si="15"/>
        <v>Atendido</v>
      </c>
      <c r="F85" s="15" t="s">
        <v>326</v>
      </c>
      <c r="G85" s="16">
        <v>42440</v>
      </c>
      <c r="H85" s="16">
        <f>WORKDAY(G85,IF(C85="SOLICITUD DE COPIA",10,IF(C85="SOLICITUD DE INFORMACIÓN",10,IF(C85="CONSULTA",30,15))),'DIAS LABORALES'!$A$1:$A$16)</f>
        <v>42466</v>
      </c>
      <c r="I85" s="16">
        <v>42459</v>
      </c>
      <c r="J85" s="16" t="s">
        <v>330</v>
      </c>
      <c r="K85" s="15" t="s">
        <v>354</v>
      </c>
      <c r="L85" s="15" t="s">
        <v>33</v>
      </c>
      <c r="M85" s="15" t="s">
        <v>29</v>
      </c>
      <c r="N85" s="15" t="s">
        <v>111</v>
      </c>
      <c r="O85" s="15" t="s">
        <v>411</v>
      </c>
      <c r="P85" s="15" t="str">
        <f t="shared" si="13"/>
        <v>SUB</v>
      </c>
      <c r="Q85" s="17">
        <f>NETWORKDAYS(G85,I85,('DIAS LABORALES'!$A$1:$A$16))-1</f>
        <v>10</v>
      </c>
      <c r="R85" s="15" t="str">
        <f t="shared" si="14"/>
        <v>Dentro de terminos</v>
      </c>
    </row>
    <row r="86" spans="1:18" ht="30" x14ac:dyDescent="0.25">
      <c r="A86" s="15">
        <v>81</v>
      </c>
      <c r="B86" s="15">
        <v>11</v>
      </c>
      <c r="C86" s="15" t="s">
        <v>108</v>
      </c>
      <c r="D86" s="15">
        <v>434902016</v>
      </c>
      <c r="E86" s="15" t="str">
        <f t="shared" si="15"/>
        <v>Atendido</v>
      </c>
      <c r="F86" s="15" t="s">
        <v>327</v>
      </c>
      <c r="G86" s="16">
        <v>42440</v>
      </c>
      <c r="H86" s="16">
        <f>WORKDAY(G86,IF(C86="SOLICITUD DE COPIA",10,IF(C86="SOLICITUD DE INFORMACIÓN",10,IF(C86="CONSULTA",30,15))),'DIAS LABORALES'!$A$1:$A$16)</f>
        <v>42466</v>
      </c>
      <c r="I86" s="16">
        <v>42459</v>
      </c>
      <c r="J86" s="16" t="s">
        <v>331</v>
      </c>
      <c r="K86" s="15" t="s">
        <v>353</v>
      </c>
      <c r="L86" s="15" t="s">
        <v>33</v>
      </c>
      <c r="M86" s="15" t="s">
        <v>29</v>
      </c>
      <c r="N86" s="15" t="s">
        <v>111</v>
      </c>
      <c r="O86" s="15" t="s">
        <v>421</v>
      </c>
      <c r="P86" s="15" t="str">
        <f t="shared" si="13"/>
        <v>SUB</v>
      </c>
      <c r="Q86" s="17">
        <f>NETWORKDAYS(G86,I86,('DIAS LABORALES'!$A$1:$A$16))-1</f>
        <v>10</v>
      </c>
      <c r="R86" s="15" t="str">
        <f t="shared" si="14"/>
        <v>Dentro de terminos</v>
      </c>
    </row>
    <row r="87" spans="1:18" ht="30" x14ac:dyDescent="0.25">
      <c r="A87" s="15">
        <v>82</v>
      </c>
      <c r="B87" s="15">
        <v>12</v>
      </c>
      <c r="C87" s="15" t="s">
        <v>108</v>
      </c>
      <c r="D87" s="15">
        <v>434962016</v>
      </c>
      <c r="E87" s="15" t="str">
        <f t="shared" si="15"/>
        <v>Atendido</v>
      </c>
      <c r="F87" s="15" t="s">
        <v>328</v>
      </c>
      <c r="G87" s="16">
        <v>42440</v>
      </c>
      <c r="H87" s="16">
        <f>WORKDAY(G87,IF(C87="SOLICITUD DE COPIA",10,IF(C87="SOLICITUD DE INFORMACIÓN",10,IF(C87="CONSULTA",30,15))),'DIAS LABORALES'!$A$1:$A$16)</f>
        <v>42466</v>
      </c>
      <c r="I87" s="16">
        <v>42459</v>
      </c>
      <c r="J87" s="16" t="s">
        <v>332</v>
      </c>
      <c r="K87" s="15" t="s">
        <v>352</v>
      </c>
      <c r="L87" s="15" t="s">
        <v>33</v>
      </c>
      <c r="M87" s="15" t="s">
        <v>29</v>
      </c>
      <c r="N87" s="15" t="s">
        <v>111</v>
      </c>
      <c r="O87" s="15" t="s">
        <v>420</v>
      </c>
      <c r="P87" s="15" t="str">
        <f t="shared" si="13"/>
        <v>SUB</v>
      </c>
      <c r="Q87" s="17">
        <f>NETWORKDAYS(G87,I87,('DIAS LABORALES'!$A$1:$A$16))-1</f>
        <v>10</v>
      </c>
      <c r="R87" s="15" t="str">
        <f t="shared" si="14"/>
        <v>Dentro de terminos</v>
      </c>
    </row>
    <row r="88" spans="1:18" ht="30" x14ac:dyDescent="0.25">
      <c r="A88" s="15">
        <v>83</v>
      </c>
      <c r="B88" s="15">
        <v>13</v>
      </c>
      <c r="C88" s="15" t="s">
        <v>108</v>
      </c>
      <c r="D88" s="15">
        <v>434992016</v>
      </c>
      <c r="E88" s="15" t="str">
        <f t="shared" si="15"/>
        <v>Atendido</v>
      </c>
      <c r="F88" s="15" t="s">
        <v>329</v>
      </c>
      <c r="G88" s="16">
        <v>42440</v>
      </c>
      <c r="H88" s="16">
        <f>WORKDAY(G88,IF(C88="SOLICITUD DE COPIA",10,IF(C88="SOLICITUD DE INFORMACIÓN",10,IF(C88="CONSULTA",30,15))),'DIAS LABORALES'!$A$1:$A$16)</f>
        <v>42466</v>
      </c>
      <c r="I88" s="16">
        <v>42461</v>
      </c>
      <c r="J88" s="16" t="s">
        <v>333</v>
      </c>
      <c r="K88" s="15" t="s">
        <v>351</v>
      </c>
      <c r="L88" s="15" t="s">
        <v>33</v>
      </c>
      <c r="M88" s="15" t="s">
        <v>29</v>
      </c>
      <c r="N88" s="15" t="s">
        <v>111</v>
      </c>
      <c r="O88" s="15" t="s">
        <v>423</v>
      </c>
      <c r="P88" s="15" t="str">
        <f t="shared" si="13"/>
        <v>SUB</v>
      </c>
      <c r="Q88" s="17">
        <f>NETWORKDAYS(G88,I88,('DIAS LABORALES'!$A$1:$A$16))-1</f>
        <v>12</v>
      </c>
      <c r="R88" s="15" t="str">
        <f t="shared" si="14"/>
        <v>Dentro de terminos</v>
      </c>
    </row>
    <row r="89" spans="1:18" ht="45" x14ac:dyDescent="0.25">
      <c r="A89" s="15">
        <v>84</v>
      </c>
      <c r="B89" s="15">
        <v>14</v>
      </c>
      <c r="C89" s="15" t="s">
        <v>135</v>
      </c>
      <c r="D89" s="15">
        <v>443342016</v>
      </c>
      <c r="E89" s="15" t="str">
        <f t="shared" si="15"/>
        <v>Atendido</v>
      </c>
      <c r="F89" s="15" t="s">
        <v>27</v>
      </c>
      <c r="G89" s="16">
        <v>42444</v>
      </c>
      <c r="H89" s="16">
        <f>WORKDAY(G89,IF(C89="SOLICITUD DE COPIA",10,IF(C89="SOLICITUD DE INFORMACIÓN",10,IF(C89="CONSULTA",30,15))),'DIAS LABORALES'!$A$1:$A$16)</f>
        <v>42468</v>
      </c>
      <c r="I89" s="16">
        <v>42461</v>
      </c>
      <c r="J89" s="16" t="s">
        <v>392</v>
      </c>
      <c r="K89" s="15" t="s">
        <v>365</v>
      </c>
      <c r="L89" s="15" t="s">
        <v>31</v>
      </c>
      <c r="M89" s="15" t="s">
        <v>78</v>
      </c>
      <c r="N89" s="15" t="s">
        <v>34</v>
      </c>
      <c r="O89" s="15" t="s">
        <v>422</v>
      </c>
      <c r="P89" s="15" t="str">
        <f t="shared" si="13"/>
        <v>SUB</v>
      </c>
      <c r="Q89" s="17">
        <f>NETWORKDAYS(G89,I89,('DIAS LABORALES'!$A$1:$A$16))-1</f>
        <v>10</v>
      </c>
      <c r="R89" s="15" t="str">
        <f t="shared" si="14"/>
        <v>Dentro de terminos</v>
      </c>
    </row>
    <row r="90" spans="1:18" ht="45" x14ac:dyDescent="0.25">
      <c r="A90" s="15">
        <v>85</v>
      </c>
      <c r="B90" s="15">
        <v>15</v>
      </c>
      <c r="C90" s="15" t="s">
        <v>135</v>
      </c>
      <c r="D90" s="15">
        <v>450642016</v>
      </c>
      <c r="E90" s="15" t="str">
        <f t="shared" si="15"/>
        <v>Atendido</v>
      </c>
      <c r="F90" s="15" t="s">
        <v>356</v>
      </c>
      <c r="G90" s="16">
        <v>42444</v>
      </c>
      <c r="H90" s="16">
        <f>WORKDAY(G90,IF(C90="SOLICITUD DE COPIA",10,IF(C90="SOLICITUD DE INFORMACIÓN",10,IF(C90="CONSULTA",30,15))),'DIAS LABORALES'!$A$1:$A$16)</f>
        <v>42468</v>
      </c>
      <c r="I90" s="16">
        <v>42446</v>
      </c>
      <c r="J90" s="16" t="s">
        <v>366</v>
      </c>
      <c r="K90" s="15" t="s">
        <v>367</v>
      </c>
      <c r="L90" s="15" t="s">
        <v>31</v>
      </c>
      <c r="M90" s="15" t="s">
        <v>83</v>
      </c>
      <c r="N90" s="15" t="s">
        <v>35</v>
      </c>
      <c r="O90" s="15" t="s">
        <v>406</v>
      </c>
      <c r="P90" s="15" t="str">
        <f t="shared" si="13"/>
        <v>MIS</v>
      </c>
      <c r="Q90" s="17">
        <f>NETWORKDAYS(G90,I90,('DIAS LABORALES'!$A$1:$A$16))-1</f>
        <v>2</v>
      </c>
      <c r="R90" s="15" t="str">
        <f t="shared" si="14"/>
        <v>Dentro de terminos</v>
      </c>
    </row>
    <row r="91" spans="1:18" ht="45" x14ac:dyDescent="0.25">
      <c r="A91" s="15">
        <v>86</v>
      </c>
      <c r="B91" s="15">
        <v>16</v>
      </c>
      <c r="C91" s="15" t="s">
        <v>135</v>
      </c>
      <c r="D91" s="15">
        <v>450562016</v>
      </c>
      <c r="E91" s="15" t="str">
        <f t="shared" si="15"/>
        <v>Atendido</v>
      </c>
      <c r="F91" s="15" t="s">
        <v>357</v>
      </c>
      <c r="G91" s="16">
        <v>42444</v>
      </c>
      <c r="H91" s="16">
        <f>WORKDAY(G91,IF(C91="SOLICITUD DE COPIA",10,IF(C91="SOLICITUD DE INFORMACIÓN",10,IF(C91="CONSULTA",30,15))),'DIAS LABORALES'!$A$1:$A$16)</f>
        <v>42468</v>
      </c>
      <c r="I91" s="16">
        <v>42446</v>
      </c>
      <c r="J91" s="16" t="s">
        <v>368</v>
      </c>
      <c r="K91" s="15" t="s">
        <v>367</v>
      </c>
      <c r="L91" s="15" t="s">
        <v>31</v>
      </c>
      <c r="M91" s="15" t="s">
        <v>83</v>
      </c>
      <c r="N91" s="15" t="s">
        <v>35</v>
      </c>
      <c r="O91" s="15" t="s">
        <v>406</v>
      </c>
      <c r="P91" s="15" t="str">
        <f t="shared" si="10"/>
        <v>MIS</v>
      </c>
      <c r="Q91" s="17">
        <f>NETWORKDAYS(G91,I91,('DIAS LABORALES'!$A$1:$A$16))-1</f>
        <v>2</v>
      </c>
      <c r="R91" s="15" t="str">
        <f t="shared" si="11"/>
        <v>Dentro de terminos</v>
      </c>
    </row>
    <row r="92" spans="1:18" ht="30" x14ac:dyDescent="0.25">
      <c r="A92" s="15">
        <v>87</v>
      </c>
      <c r="B92" s="15">
        <v>17</v>
      </c>
      <c r="C92" s="15" t="s">
        <v>108</v>
      </c>
      <c r="D92" s="15">
        <v>460552016</v>
      </c>
      <c r="E92" s="15" t="str">
        <f t="shared" ref="E92:E103" si="18">+IF(I92=0,"En Tramite","Atendido")</f>
        <v>Atendido</v>
      </c>
      <c r="F92" s="15" t="s">
        <v>342</v>
      </c>
      <c r="G92" s="16">
        <v>42445</v>
      </c>
      <c r="H92" s="16">
        <f>WORKDAY(G92,IF(C92="SOLICITUD DE COPIA",10,IF(C92="SOLICITUD DE INFORMACIÓN",10,IF(C92="CONSULTA",30,15))),'DIAS LABORALES'!$A$1:$A$16)</f>
        <v>42471</v>
      </c>
      <c r="I92" s="16">
        <v>42459</v>
      </c>
      <c r="J92" s="16" t="s">
        <v>345</v>
      </c>
      <c r="K92" s="15" t="s">
        <v>348</v>
      </c>
      <c r="L92" s="15" t="s">
        <v>33</v>
      </c>
      <c r="M92" s="15" t="s">
        <v>29</v>
      </c>
      <c r="N92" s="15" t="s">
        <v>111</v>
      </c>
      <c r="O92" s="15" t="s">
        <v>412</v>
      </c>
      <c r="P92" s="15" t="str">
        <f t="shared" ref="P92:P103" si="19">LEFT(M92,3)</f>
        <v>SUB</v>
      </c>
      <c r="Q92" s="17">
        <f>NETWORKDAYS(G92,I92,('DIAS LABORALES'!$A$1:$A$16))-1</f>
        <v>7</v>
      </c>
      <c r="R92" s="15" t="str">
        <f t="shared" ref="R92:R103" si="20">IF(I92=0,"En Tramite",IF(AND(C92="SOLICITUD DE COPIA",Q92&lt;=10),"Dentro de terminos",IF(AND(C92="SOLICITUD DE INFORMACIÓN",Q92&lt;=10),"Dentro de terminos",IF(AND(OR(C92="DENUNCIA",C92="FELICITACIÓN",C92="QUEJA",C92="RECLAMO",C92="SUGERENCIA",C92="PETICIÓN INTERÉS GENERAL",C92="PETICIÓN INTERÉS PARTICULAR"),Q92&lt;=15),"Dentro de terminos","Fuera de terminos"))))</f>
        <v>Dentro de terminos</v>
      </c>
    </row>
    <row r="93" spans="1:18" ht="30" x14ac:dyDescent="0.25">
      <c r="A93" s="15">
        <v>88</v>
      </c>
      <c r="B93" s="15">
        <v>18</v>
      </c>
      <c r="C93" s="15" t="s">
        <v>108</v>
      </c>
      <c r="D93" s="15">
        <v>460602016</v>
      </c>
      <c r="E93" s="15" t="str">
        <f t="shared" si="18"/>
        <v>Atendido</v>
      </c>
      <c r="F93" s="15" t="s">
        <v>343</v>
      </c>
      <c r="G93" s="16">
        <v>42445</v>
      </c>
      <c r="H93" s="16">
        <f>WORKDAY(G93,IF(C93="SOLICITUD DE COPIA",10,IF(C93="SOLICITUD DE INFORMACIÓN",10,IF(C93="CONSULTA",30,15))),'DIAS LABORALES'!$A$1:$A$16)</f>
        <v>42471</v>
      </c>
      <c r="I93" s="16">
        <v>42459</v>
      </c>
      <c r="J93" s="16" t="s">
        <v>346</v>
      </c>
      <c r="K93" s="15" t="s">
        <v>349</v>
      </c>
      <c r="L93" s="15" t="s">
        <v>33</v>
      </c>
      <c r="M93" s="15" t="s">
        <v>29</v>
      </c>
      <c r="N93" s="15" t="s">
        <v>111</v>
      </c>
      <c r="O93" s="15" t="s">
        <v>413</v>
      </c>
      <c r="P93" s="15" t="str">
        <f t="shared" si="19"/>
        <v>SUB</v>
      </c>
      <c r="Q93" s="17">
        <f>NETWORKDAYS(G93,I93,('DIAS LABORALES'!$A$1:$A$16))-1</f>
        <v>7</v>
      </c>
      <c r="R93" s="15" t="str">
        <f t="shared" si="20"/>
        <v>Dentro de terminos</v>
      </c>
    </row>
    <row r="94" spans="1:18" ht="30" x14ac:dyDescent="0.25">
      <c r="A94" s="15">
        <v>89</v>
      </c>
      <c r="B94" s="15">
        <v>19</v>
      </c>
      <c r="C94" s="15" t="s">
        <v>108</v>
      </c>
      <c r="D94" s="15">
        <v>460662016</v>
      </c>
      <c r="E94" s="15" t="str">
        <f t="shared" si="18"/>
        <v>Atendido</v>
      </c>
      <c r="F94" s="15" t="s">
        <v>344</v>
      </c>
      <c r="G94" s="16">
        <v>42445</v>
      </c>
      <c r="H94" s="16">
        <f>WORKDAY(G94,IF(C94="SOLICITUD DE COPIA",10,IF(C94="SOLICITUD DE INFORMACIÓN",10,IF(C94="CONSULTA",30,15))),'DIAS LABORALES'!$A$1:$A$16)</f>
        <v>42471</v>
      </c>
      <c r="I94" s="16">
        <v>42459</v>
      </c>
      <c r="J94" s="16" t="s">
        <v>347</v>
      </c>
      <c r="K94" s="15" t="s">
        <v>350</v>
      </c>
      <c r="L94" s="15" t="s">
        <v>33</v>
      </c>
      <c r="M94" s="15" t="s">
        <v>29</v>
      </c>
      <c r="N94" s="15" t="s">
        <v>35</v>
      </c>
      <c r="O94" s="15" t="s">
        <v>414</v>
      </c>
      <c r="P94" s="15" t="str">
        <f t="shared" si="19"/>
        <v>SUB</v>
      </c>
      <c r="Q94" s="17">
        <f>NETWORKDAYS(G94,I94,('DIAS LABORALES'!$A$1:$A$16))-1</f>
        <v>7</v>
      </c>
      <c r="R94" s="15" t="str">
        <f t="shared" si="20"/>
        <v>Dentro de terminos</v>
      </c>
    </row>
    <row r="95" spans="1:18" ht="30" x14ac:dyDescent="0.25">
      <c r="A95" s="15">
        <v>90</v>
      </c>
      <c r="B95" s="15">
        <v>20</v>
      </c>
      <c r="C95" s="15" t="s">
        <v>108</v>
      </c>
      <c r="D95" s="15">
        <v>478462016</v>
      </c>
      <c r="E95" s="15" t="str">
        <f t="shared" si="18"/>
        <v>Atendido</v>
      </c>
      <c r="F95" s="15" t="s">
        <v>358</v>
      </c>
      <c r="G95" s="16">
        <v>42447</v>
      </c>
      <c r="H95" s="16">
        <f>WORKDAY(G95,IF(C95="SOLICITUD DE COPIA",10,IF(C95="SOLICITUD DE INFORMACIÓN",10,IF(C95="CONSULTA",30,15))),'DIAS LABORALES'!$A$1:$A$16)</f>
        <v>42473</v>
      </c>
      <c r="I95" s="16">
        <v>42459</v>
      </c>
      <c r="J95" s="16" t="s">
        <v>369</v>
      </c>
      <c r="K95" s="15" t="s">
        <v>370</v>
      </c>
      <c r="L95" s="15" t="s">
        <v>31</v>
      </c>
      <c r="M95" s="15" t="s">
        <v>29</v>
      </c>
      <c r="N95" s="15" t="s">
        <v>111</v>
      </c>
      <c r="O95" s="15" t="s">
        <v>415</v>
      </c>
      <c r="P95" s="15" t="str">
        <f t="shared" si="19"/>
        <v>SUB</v>
      </c>
      <c r="Q95" s="17">
        <f>NETWORKDAYS(G95,I95,('DIAS LABORALES'!$A$1:$A$16))-1</f>
        <v>5</v>
      </c>
      <c r="R95" s="15" t="str">
        <f t="shared" si="20"/>
        <v>Dentro de terminos</v>
      </c>
    </row>
    <row r="96" spans="1:18" ht="30" x14ac:dyDescent="0.25">
      <c r="A96" s="15">
        <v>91</v>
      </c>
      <c r="B96" s="15">
        <v>21</v>
      </c>
      <c r="C96" s="15" t="s">
        <v>108</v>
      </c>
      <c r="D96" s="15">
        <v>478522016</v>
      </c>
      <c r="E96" s="15" t="str">
        <f t="shared" si="18"/>
        <v>Atendido</v>
      </c>
      <c r="F96" s="15" t="s">
        <v>359</v>
      </c>
      <c r="G96" s="16">
        <v>42447</v>
      </c>
      <c r="H96" s="16">
        <f>WORKDAY(G96,IF(C96="SOLICITUD DE COPIA",10,IF(C96="SOLICITUD DE INFORMACIÓN",10,IF(C96="CONSULTA",30,15))),'DIAS LABORALES'!$A$1:$A$16)</f>
        <v>42473</v>
      </c>
      <c r="I96" s="16">
        <v>42447</v>
      </c>
      <c r="J96" s="16" t="s">
        <v>392</v>
      </c>
      <c r="K96" s="15" t="s">
        <v>371</v>
      </c>
      <c r="L96" s="15" t="s">
        <v>372</v>
      </c>
      <c r="M96" s="15" t="s">
        <v>32</v>
      </c>
      <c r="N96" s="15" t="s">
        <v>111</v>
      </c>
      <c r="O96" s="15" t="s">
        <v>373</v>
      </c>
      <c r="P96" s="15" t="str">
        <f t="shared" si="19"/>
        <v>COM</v>
      </c>
      <c r="Q96" s="17">
        <f>NETWORKDAYS(G96,I96,('DIAS LABORALES'!$A$1:$A$16))-1</f>
        <v>0</v>
      </c>
      <c r="R96" s="15" t="str">
        <f t="shared" si="20"/>
        <v>Dentro de terminos</v>
      </c>
    </row>
    <row r="97" spans="1:18" ht="45" x14ac:dyDescent="0.25">
      <c r="A97" s="15">
        <v>92</v>
      </c>
      <c r="B97" s="15">
        <v>22</v>
      </c>
      <c r="C97" s="15" t="s">
        <v>108</v>
      </c>
      <c r="D97" s="15">
        <v>478582016</v>
      </c>
      <c r="E97" s="15" t="str">
        <f t="shared" si="18"/>
        <v>Atendido</v>
      </c>
      <c r="F97" s="15" t="s">
        <v>360</v>
      </c>
      <c r="G97" s="16">
        <v>42447</v>
      </c>
      <c r="H97" s="16">
        <f>WORKDAY(G97,IF(C97="SOLICITUD DE COPIA",10,IF(C97="SOLICITUD DE INFORMACIÓN",10,IF(C97="CONSULTA",30,15))),'DIAS LABORALES'!$A$1:$A$16)</f>
        <v>42473</v>
      </c>
      <c r="I97" s="16">
        <v>42447</v>
      </c>
      <c r="J97" s="16" t="s">
        <v>392</v>
      </c>
      <c r="K97" s="15" t="s">
        <v>374</v>
      </c>
      <c r="L97" s="15" t="s">
        <v>300</v>
      </c>
      <c r="M97" s="15" t="s">
        <v>32</v>
      </c>
      <c r="N97" s="15" t="s">
        <v>111</v>
      </c>
      <c r="O97" s="15" t="s">
        <v>375</v>
      </c>
      <c r="P97" s="15" t="str">
        <f t="shared" si="19"/>
        <v>COM</v>
      </c>
      <c r="Q97" s="17">
        <f>NETWORKDAYS(G97,I97,('DIAS LABORALES'!$A$1:$A$16))-1</f>
        <v>0</v>
      </c>
      <c r="R97" s="15" t="str">
        <f t="shared" si="20"/>
        <v>Dentro de terminos</v>
      </c>
    </row>
    <row r="98" spans="1:18" ht="30" x14ac:dyDescent="0.25">
      <c r="A98" s="15">
        <v>93</v>
      </c>
      <c r="B98" s="15">
        <v>23</v>
      </c>
      <c r="C98" s="15" t="s">
        <v>107</v>
      </c>
      <c r="D98" s="15">
        <v>478602016</v>
      </c>
      <c r="E98" s="15" t="str">
        <f t="shared" si="18"/>
        <v>Atendido</v>
      </c>
      <c r="F98" s="15" t="s">
        <v>361</v>
      </c>
      <c r="G98" s="16">
        <v>42447</v>
      </c>
      <c r="H98" s="16">
        <f>WORKDAY(G98,IF(C98="SOLICITUD DE COPIA",10,IF(C98="SOLICITUD DE INFORMACIÓN",10,IF(C98="CONSULTA",30,15))),'DIAS LABORALES'!$A$1:$A$16)</f>
        <v>42473</v>
      </c>
      <c r="I98" s="16">
        <v>42459</v>
      </c>
      <c r="J98" s="16" t="s">
        <v>376</v>
      </c>
      <c r="K98" s="15" t="s">
        <v>377</v>
      </c>
      <c r="L98" s="15" t="s">
        <v>31</v>
      </c>
      <c r="M98" s="15" t="s">
        <v>29</v>
      </c>
      <c r="N98" s="15" t="s">
        <v>111</v>
      </c>
      <c r="O98" s="15" t="s">
        <v>416</v>
      </c>
      <c r="P98" s="15" t="str">
        <f t="shared" si="19"/>
        <v>SUB</v>
      </c>
      <c r="Q98" s="17">
        <f>NETWORKDAYS(G98,I98,('DIAS LABORALES'!$A$1:$A$16))-1</f>
        <v>5</v>
      </c>
      <c r="R98" s="15" t="str">
        <f t="shared" si="20"/>
        <v>Dentro de terminos</v>
      </c>
    </row>
    <row r="99" spans="1:18" ht="30" x14ac:dyDescent="0.25">
      <c r="A99" s="15">
        <v>94</v>
      </c>
      <c r="B99" s="15">
        <v>24</v>
      </c>
      <c r="C99" s="15" t="s">
        <v>107</v>
      </c>
      <c r="D99" s="15">
        <v>478652016</v>
      </c>
      <c r="E99" s="15" t="str">
        <f t="shared" si="18"/>
        <v>Atendido</v>
      </c>
      <c r="F99" s="15" t="s">
        <v>362</v>
      </c>
      <c r="G99" s="16">
        <v>42447</v>
      </c>
      <c r="H99" s="16">
        <f>WORKDAY(G99,IF(C99="SOLICITUD DE COPIA",10,IF(C99="SOLICITUD DE INFORMACIÓN",10,IF(C99="CONSULTA",30,15))),'DIAS LABORALES'!$A$1:$A$16)</f>
        <v>42473</v>
      </c>
      <c r="I99" s="16">
        <v>42459</v>
      </c>
      <c r="J99" s="16" t="s">
        <v>376</v>
      </c>
      <c r="K99" s="15" t="s">
        <v>378</v>
      </c>
      <c r="L99" s="15" t="s">
        <v>31</v>
      </c>
      <c r="M99" s="15" t="s">
        <v>29</v>
      </c>
      <c r="N99" s="15" t="s">
        <v>111</v>
      </c>
      <c r="O99" s="15" t="s">
        <v>417</v>
      </c>
      <c r="P99" s="15" t="str">
        <f t="shared" si="19"/>
        <v>SUB</v>
      </c>
      <c r="Q99" s="17">
        <f>NETWORKDAYS(G99,I99,('DIAS LABORALES'!$A$1:$A$16))-1</f>
        <v>5</v>
      </c>
      <c r="R99" s="15" t="str">
        <f t="shared" si="20"/>
        <v>Dentro de terminos</v>
      </c>
    </row>
    <row r="100" spans="1:18" ht="30" x14ac:dyDescent="0.25">
      <c r="A100" s="15">
        <v>95</v>
      </c>
      <c r="B100" s="15">
        <v>25</v>
      </c>
      <c r="C100" s="15" t="s">
        <v>107</v>
      </c>
      <c r="D100" s="15">
        <v>478902016</v>
      </c>
      <c r="E100" s="15" t="str">
        <f t="shared" si="18"/>
        <v>Atendido</v>
      </c>
      <c r="F100" s="15" t="s">
        <v>363</v>
      </c>
      <c r="G100" s="16">
        <v>42447</v>
      </c>
      <c r="H100" s="16">
        <f>WORKDAY(G100,IF(C100="SOLICITUD DE COPIA",10,IF(C100="SOLICITUD DE INFORMACIÓN",10,IF(C100="CONSULTA",30,15))),'DIAS LABORALES'!$A$1:$A$16)</f>
        <v>42473</v>
      </c>
      <c r="I100" s="16">
        <v>42459</v>
      </c>
      <c r="J100" s="16" t="s">
        <v>379</v>
      </c>
      <c r="K100" s="15" t="s">
        <v>380</v>
      </c>
      <c r="L100" s="15" t="s">
        <v>31</v>
      </c>
      <c r="M100" s="15" t="s">
        <v>29</v>
      </c>
      <c r="N100" s="15" t="s">
        <v>111</v>
      </c>
      <c r="O100" s="15" t="s">
        <v>418</v>
      </c>
      <c r="P100" s="15" t="str">
        <f t="shared" si="19"/>
        <v>SUB</v>
      </c>
      <c r="Q100" s="17">
        <f>NETWORKDAYS(G100,I100,('DIAS LABORALES'!$A$1:$A$16))-1</f>
        <v>5</v>
      </c>
      <c r="R100" s="15" t="str">
        <f t="shared" si="20"/>
        <v>Dentro de terminos</v>
      </c>
    </row>
    <row r="101" spans="1:18" ht="30" x14ac:dyDescent="0.25">
      <c r="A101" s="15">
        <v>96</v>
      </c>
      <c r="B101" s="15">
        <v>26</v>
      </c>
      <c r="C101" s="15" t="s">
        <v>107</v>
      </c>
      <c r="D101" s="15">
        <v>478982016</v>
      </c>
      <c r="E101" s="15" t="str">
        <f t="shared" si="18"/>
        <v>Atendido</v>
      </c>
      <c r="F101" s="15" t="s">
        <v>364</v>
      </c>
      <c r="G101" s="16">
        <v>42447</v>
      </c>
      <c r="H101" s="16">
        <f>WORKDAY(G101,IF(C101="SOLICITUD DE COPIA",10,IF(C101="SOLICITUD DE INFORMACIÓN",10,IF(C101="CONSULTA",30,15))),'DIAS LABORALES'!$A$1:$A$16)</f>
        <v>42473</v>
      </c>
      <c r="I101" s="16">
        <v>42459</v>
      </c>
      <c r="J101" s="16" t="s">
        <v>381</v>
      </c>
      <c r="K101" s="15" t="s">
        <v>382</v>
      </c>
      <c r="L101" s="15" t="s">
        <v>31</v>
      </c>
      <c r="M101" s="15" t="s">
        <v>29</v>
      </c>
      <c r="N101" s="15" t="s">
        <v>111</v>
      </c>
      <c r="O101" s="15" t="s">
        <v>419</v>
      </c>
      <c r="P101" s="15" t="str">
        <f t="shared" si="19"/>
        <v>SUB</v>
      </c>
      <c r="Q101" s="17">
        <f>NETWORKDAYS(G101,I101,('DIAS LABORALES'!$A$1:$A$16))-1</f>
        <v>5</v>
      </c>
      <c r="R101" s="15" t="str">
        <f t="shared" si="20"/>
        <v>Dentro de terminos</v>
      </c>
    </row>
    <row r="102" spans="1:18" ht="30" x14ac:dyDescent="0.25">
      <c r="A102" s="15">
        <v>97</v>
      </c>
      <c r="B102" s="15">
        <v>27</v>
      </c>
      <c r="C102" s="15" t="s">
        <v>72</v>
      </c>
      <c r="D102" s="15">
        <v>488412016</v>
      </c>
      <c r="E102" s="15" t="str">
        <f t="shared" si="18"/>
        <v>Atendido</v>
      </c>
      <c r="F102" s="15" t="s">
        <v>383</v>
      </c>
      <c r="G102" s="16">
        <v>42451</v>
      </c>
      <c r="H102" s="16">
        <f>WORKDAY(G102,IF(C102="SOLICITUD DE COPIA",10,IF(C102="SOLICITUD DE INFORMACIÓN",10,IF(C102="CONSULTA",30,15))),'DIAS LABORALES'!$A$1:$A$16)</f>
        <v>42474</v>
      </c>
      <c r="I102" s="16">
        <v>42472</v>
      </c>
      <c r="J102" s="16" t="s">
        <v>260</v>
      </c>
      <c r="K102" s="15" t="s">
        <v>384</v>
      </c>
      <c r="L102" s="15" t="s">
        <v>31</v>
      </c>
      <c r="M102" s="15" t="s">
        <v>29</v>
      </c>
      <c r="N102" s="15" t="s">
        <v>35</v>
      </c>
      <c r="O102" s="15" t="s">
        <v>447</v>
      </c>
      <c r="P102" s="15" t="str">
        <f t="shared" si="19"/>
        <v>SUB</v>
      </c>
      <c r="Q102" s="17">
        <f>NETWORKDAYS(G102,I102,('DIAS LABORALES'!$A$1:$A$16))-1</f>
        <v>13</v>
      </c>
      <c r="R102" s="15" t="str">
        <f t="shared" si="20"/>
        <v>Dentro de terminos</v>
      </c>
    </row>
    <row r="103" spans="1:18" ht="45" x14ac:dyDescent="0.25">
      <c r="A103" s="15">
        <v>98</v>
      </c>
      <c r="B103" s="15">
        <v>28</v>
      </c>
      <c r="C103" s="15" t="s">
        <v>136</v>
      </c>
      <c r="D103" s="15">
        <v>499782016</v>
      </c>
      <c r="E103" s="15" t="str">
        <f t="shared" si="18"/>
        <v>Atendido</v>
      </c>
      <c r="F103" s="15" t="s">
        <v>389</v>
      </c>
      <c r="G103" s="16">
        <v>42452</v>
      </c>
      <c r="H103" s="16">
        <f>WORKDAY(G103,IF(C103="SOLICITUD DE COPIA",10,IF(C103="SOLICITUD DE INFORMACIÓN",10,IF(C103="CONSULTA",30,15))),'DIAS LABORALES'!$A$1:$A$16)</f>
        <v>42475</v>
      </c>
      <c r="I103" s="16">
        <v>42467</v>
      </c>
      <c r="J103" s="16" t="s">
        <v>390</v>
      </c>
      <c r="K103" s="15" t="s">
        <v>391</v>
      </c>
      <c r="L103" s="15" t="s">
        <v>31</v>
      </c>
      <c r="M103" s="15" t="s">
        <v>29</v>
      </c>
      <c r="N103" s="15" t="s">
        <v>35</v>
      </c>
      <c r="O103" s="15" t="s">
        <v>424</v>
      </c>
      <c r="P103" s="15" t="str">
        <f t="shared" si="19"/>
        <v>SUB</v>
      </c>
      <c r="Q103" s="17">
        <f>NETWORKDAYS(G103,I103,('DIAS LABORALES'!$A$1:$A$16))-1</f>
        <v>9</v>
      </c>
      <c r="R103" s="15" t="str">
        <f t="shared" si="20"/>
        <v>Dentro de terminos</v>
      </c>
    </row>
    <row r="104" spans="1:18" ht="90" x14ac:dyDescent="0.25">
      <c r="A104" s="15">
        <v>99</v>
      </c>
      <c r="B104" s="15">
        <v>29</v>
      </c>
      <c r="C104" s="15" t="s">
        <v>72</v>
      </c>
      <c r="D104" s="15">
        <v>479652016</v>
      </c>
      <c r="E104" s="15" t="str">
        <f t="shared" si="15"/>
        <v>Atendido</v>
      </c>
      <c r="F104" s="15" t="s">
        <v>27</v>
      </c>
      <c r="G104" s="16">
        <v>42452</v>
      </c>
      <c r="H104" s="16">
        <f>WORKDAY(G104,IF(C104="SOLICITUD DE COPIA",10,IF(C104="SOLICITUD DE INFORMACIÓN",10,IF(C104="CONSULTA",30,15))),'DIAS LABORALES'!$A$1:$A$16)</f>
        <v>42475</v>
      </c>
      <c r="I104" s="16">
        <v>42465</v>
      </c>
      <c r="J104" s="16" t="s">
        <v>392</v>
      </c>
      <c r="K104" s="15" t="s">
        <v>407</v>
      </c>
      <c r="L104" s="15" t="s">
        <v>177</v>
      </c>
      <c r="M104" s="15" t="s">
        <v>78</v>
      </c>
      <c r="N104" s="15" t="s">
        <v>34</v>
      </c>
      <c r="O104" s="15" t="s">
        <v>425</v>
      </c>
      <c r="P104" s="15" t="str">
        <f t="shared" si="10"/>
        <v>SUB</v>
      </c>
      <c r="Q104" s="17">
        <f>NETWORKDAYS(G104,I104,('DIAS LABORALES'!$A$1:$A$16))-1</f>
        <v>7</v>
      </c>
      <c r="R104" s="15" t="str">
        <f t="shared" si="11"/>
        <v>Dentro de terminos</v>
      </c>
    </row>
    <row r="105" spans="1:18" ht="45" x14ac:dyDescent="0.25">
      <c r="A105" s="15">
        <v>100</v>
      </c>
      <c r="B105" s="15">
        <v>30</v>
      </c>
      <c r="C105" s="15" t="s">
        <v>135</v>
      </c>
      <c r="D105" s="15">
        <v>512562016</v>
      </c>
      <c r="E105" s="15" t="str">
        <f t="shared" ref="E105:E109" si="21">+IF(I105=0,"En Tramite","Atendido")</f>
        <v>Atendido</v>
      </c>
      <c r="F105" s="15" t="s">
        <v>393</v>
      </c>
      <c r="G105" s="16">
        <v>42458</v>
      </c>
      <c r="H105" s="16">
        <f>WORKDAY(G105,IF(C105="SOLICITUD DE COPIA",10,IF(C105="SOLICITUD DE INFORMACIÓN",10,IF(C105="CONSULTA",30,15))),'[1]DIAS LABORALES'!$A$1:$A$16)</f>
        <v>42479</v>
      </c>
      <c r="I105" s="16">
        <v>42478</v>
      </c>
      <c r="J105" s="16" t="s">
        <v>394</v>
      </c>
      <c r="K105" s="15" t="s">
        <v>395</v>
      </c>
      <c r="L105" s="15" t="s">
        <v>31</v>
      </c>
      <c r="M105" s="15" t="s">
        <v>77</v>
      </c>
      <c r="N105" s="15" t="s">
        <v>35</v>
      </c>
      <c r="O105" s="15" t="s">
        <v>455</v>
      </c>
      <c r="P105" s="15" t="str">
        <f t="shared" ref="P105:P109" si="22">LEFT(M105,3)</f>
        <v>JUR</v>
      </c>
      <c r="Q105" s="17">
        <f>NETWORKDAYS(G105,I105,('DIAS LABORALES'!$A$1:$A$16))-1</f>
        <v>14</v>
      </c>
      <c r="R105" s="15" t="str">
        <f t="shared" ref="R105:R109" si="23">IF(I105=0,"En Tramite",IF(AND(C105="SOLICITUD DE COPIA",Q105&lt;=10),"Dentro de terminos",IF(AND(C105="SOLICITUD DE INFORMACIÓN",Q105&lt;=10),"Dentro de terminos",IF(AND(OR(C105="DENUNCIA",C105="FELICITACIÓN",C105="QUEJA",C105="RECLAMO",C105="SUGERENCIA",C105="PETICIÓN INTERÉS GENERAL",C105="PETICIÓN INTERÉS PARTICULAR"),Q105&lt;=15),"Dentro de terminos","Fuera de terminos"))))</f>
        <v>Dentro de terminos</v>
      </c>
    </row>
    <row r="106" spans="1:18" ht="45" x14ac:dyDescent="0.25">
      <c r="A106" s="15">
        <v>101</v>
      </c>
      <c r="B106" s="15">
        <v>31</v>
      </c>
      <c r="C106" s="15" t="s">
        <v>135</v>
      </c>
      <c r="D106" s="15">
        <v>518712016</v>
      </c>
      <c r="E106" s="15" t="str">
        <f t="shared" si="21"/>
        <v>Atendido</v>
      </c>
      <c r="F106" s="15" t="s">
        <v>397</v>
      </c>
      <c r="G106" s="16">
        <v>42458</v>
      </c>
      <c r="H106" s="16">
        <f>WORKDAY(G106,IF(C106="SOLICITUD DE COPIA",10,IF(C106="SOLICITUD DE INFORMACIÓN",10,IF(C106="CONSULTA",30,15))),'[1]DIAS LABORALES'!$A$1:$A$16)</f>
        <v>42479</v>
      </c>
      <c r="I106" s="16">
        <v>42478</v>
      </c>
      <c r="J106" s="16" t="s">
        <v>401</v>
      </c>
      <c r="K106" s="15" t="s">
        <v>402</v>
      </c>
      <c r="L106" s="15" t="s">
        <v>31</v>
      </c>
      <c r="M106" s="15" t="s">
        <v>29</v>
      </c>
      <c r="N106" s="15" t="s">
        <v>35</v>
      </c>
      <c r="O106" s="15" t="s">
        <v>454</v>
      </c>
      <c r="P106" s="15" t="str">
        <f t="shared" si="22"/>
        <v>SUB</v>
      </c>
      <c r="Q106" s="17">
        <f>NETWORKDAYS(G106,I106,('DIAS LABORALES'!$A$1:$A$16))-1</f>
        <v>14</v>
      </c>
      <c r="R106" s="15" t="str">
        <f t="shared" si="23"/>
        <v>Dentro de terminos</v>
      </c>
    </row>
    <row r="107" spans="1:18" ht="45" customHeight="1" x14ac:dyDescent="0.25">
      <c r="A107" s="15">
        <v>102</v>
      </c>
      <c r="B107" s="15">
        <v>32</v>
      </c>
      <c r="C107" s="15" t="s">
        <v>135</v>
      </c>
      <c r="D107" s="15">
        <v>518802016</v>
      </c>
      <c r="E107" s="15" t="str">
        <f t="shared" si="21"/>
        <v>Atendido</v>
      </c>
      <c r="F107" s="15" t="s">
        <v>398</v>
      </c>
      <c r="G107" s="16">
        <v>42458</v>
      </c>
      <c r="H107" s="16">
        <f>WORKDAY(G107,IF(C107="SOLICITUD DE COPIA",10,IF(C107="SOLICITUD DE INFORMACIÓN",10,IF(C107="CONSULTA",30,15))),'DIAS LABORALES'!$A$1:$A$16)</f>
        <v>42479</v>
      </c>
      <c r="I107" s="16">
        <v>42466</v>
      </c>
      <c r="J107" s="16" t="s">
        <v>401</v>
      </c>
      <c r="K107" s="15" t="s">
        <v>402</v>
      </c>
      <c r="L107" s="15" t="s">
        <v>31</v>
      </c>
      <c r="M107" s="15" t="s">
        <v>29</v>
      </c>
      <c r="N107" s="15" t="s">
        <v>35</v>
      </c>
      <c r="O107" s="15" t="s">
        <v>452</v>
      </c>
      <c r="P107" s="15" t="str">
        <f t="shared" si="22"/>
        <v>SUB</v>
      </c>
      <c r="Q107" s="17">
        <f>NETWORKDAYS(G107,I107,('DIAS LABORALES'!$A$1:$A$16))-1</f>
        <v>6</v>
      </c>
      <c r="R107" s="15" t="str">
        <f t="shared" si="23"/>
        <v>Dentro de terminos</v>
      </c>
    </row>
    <row r="108" spans="1:18" ht="45" customHeight="1" x14ac:dyDescent="0.25">
      <c r="A108" s="15">
        <v>103</v>
      </c>
      <c r="B108" s="15">
        <v>33</v>
      </c>
      <c r="C108" s="15" t="s">
        <v>135</v>
      </c>
      <c r="D108" s="15">
        <v>518832016</v>
      </c>
      <c r="E108" s="15" t="str">
        <f t="shared" si="21"/>
        <v>Atendido</v>
      </c>
      <c r="F108" s="15" t="s">
        <v>399</v>
      </c>
      <c r="G108" s="16">
        <v>42458</v>
      </c>
      <c r="H108" s="16">
        <f>WORKDAY(G108,IF(C108="SOLICITUD DE COPIA",10,IF(C108="SOLICITUD DE INFORMACIÓN",10,IF(C108="CONSULTA",30,15))),'DIAS LABORALES'!$A$1:$A$16)</f>
        <v>42479</v>
      </c>
      <c r="I108" s="16">
        <v>42468</v>
      </c>
      <c r="J108" s="16" t="s">
        <v>401</v>
      </c>
      <c r="K108" s="15" t="s">
        <v>403</v>
      </c>
      <c r="L108" s="15" t="s">
        <v>31</v>
      </c>
      <c r="M108" s="15" t="s">
        <v>29</v>
      </c>
      <c r="N108" s="15" t="s">
        <v>35</v>
      </c>
      <c r="O108" s="15" t="s">
        <v>450</v>
      </c>
      <c r="P108" s="15" t="str">
        <f t="shared" si="22"/>
        <v>SUB</v>
      </c>
      <c r="Q108" s="17">
        <f>NETWORKDAYS(G108,I108,('DIAS LABORALES'!$A$1:$A$16))-1</f>
        <v>8</v>
      </c>
      <c r="R108" s="15" t="str">
        <f t="shared" si="23"/>
        <v>Dentro de terminos</v>
      </c>
    </row>
    <row r="109" spans="1:18" ht="45" x14ac:dyDescent="0.25">
      <c r="A109" s="15">
        <v>104</v>
      </c>
      <c r="B109" s="15">
        <v>34</v>
      </c>
      <c r="C109" s="15" t="s">
        <v>135</v>
      </c>
      <c r="D109" s="15">
        <v>518872016</v>
      </c>
      <c r="E109" s="15" t="str">
        <f t="shared" si="21"/>
        <v>Atendido</v>
      </c>
      <c r="F109" s="15" t="s">
        <v>400</v>
      </c>
      <c r="G109" s="16">
        <v>42458</v>
      </c>
      <c r="H109" s="16">
        <f>WORKDAY(G109,IF(C109="SOLICITUD DE COPIA",10,IF(C109="SOLICITUD DE INFORMACIÓN",10,IF(C109="CONSULTA",30,15))),'DIAS LABORALES'!$A$1:$A$16)</f>
        <v>42479</v>
      </c>
      <c r="I109" s="16">
        <v>42468</v>
      </c>
      <c r="J109" s="16" t="s">
        <v>401</v>
      </c>
      <c r="K109" s="15" t="s">
        <v>404</v>
      </c>
      <c r="L109" s="15" t="s">
        <v>31</v>
      </c>
      <c r="M109" s="15" t="s">
        <v>29</v>
      </c>
      <c r="N109" s="15" t="s">
        <v>35</v>
      </c>
      <c r="O109" s="15" t="s">
        <v>451</v>
      </c>
      <c r="P109" s="15" t="str">
        <f t="shared" si="22"/>
        <v>SUB</v>
      </c>
      <c r="Q109" s="17">
        <f>NETWORKDAYS(G109,I109,('DIAS LABORALES'!$A$1:$A$16))-1</f>
        <v>8</v>
      </c>
      <c r="R109" s="15" t="str">
        <f t="shared" si="23"/>
        <v>Dentro de terminos</v>
      </c>
    </row>
    <row r="110" spans="1:18" x14ac:dyDescent="0.25">
      <c r="A110" s="25"/>
      <c r="B110" s="25"/>
      <c r="C110" s="25"/>
      <c r="D110" s="25"/>
      <c r="E110" s="25"/>
      <c r="F110" s="25"/>
      <c r="G110" s="26"/>
      <c r="H110" s="26"/>
      <c r="I110" s="26"/>
      <c r="J110" s="26"/>
      <c r="K110" s="25"/>
      <c r="L110" s="25"/>
      <c r="M110" s="25"/>
      <c r="N110" s="25"/>
      <c r="O110" s="25"/>
      <c r="P110" s="25"/>
      <c r="Q110" s="27"/>
      <c r="R110" s="25"/>
    </row>
    <row r="111" spans="1:18" x14ac:dyDescent="0.25">
      <c r="A111" s="25"/>
      <c r="B111" s="25"/>
      <c r="C111" s="25"/>
      <c r="D111" s="25"/>
      <c r="E111" s="25"/>
      <c r="F111" s="25"/>
      <c r="G111" s="26"/>
      <c r="H111" s="26"/>
      <c r="I111" s="26"/>
      <c r="J111" s="26"/>
      <c r="K111" s="25"/>
      <c r="L111" s="25"/>
      <c r="M111" s="25"/>
      <c r="N111" s="25"/>
      <c r="O111" s="25"/>
      <c r="P111" s="25"/>
      <c r="Q111" s="27"/>
      <c r="R111" s="25"/>
    </row>
    <row r="112" spans="1:18" x14ac:dyDescent="0.25">
      <c r="A112" s="25"/>
      <c r="B112" s="25"/>
      <c r="C112" s="25"/>
      <c r="D112" s="25"/>
      <c r="E112" s="25"/>
      <c r="F112" s="25"/>
      <c r="G112" s="26"/>
      <c r="H112" s="26"/>
      <c r="I112" s="26"/>
      <c r="J112" s="26"/>
      <c r="K112" s="25"/>
      <c r="L112" s="25"/>
      <c r="M112" s="25"/>
      <c r="N112" s="25"/>
      <c r="O112" s="25"/>
      <c r="P112" s="25"/>
      <c r="Q112" s="27"/>
      <c r="R112" s="25"/>
    </row>
    <row r="113" spans="1:18" x14ac:dyDescent="0.25">
      <c r="A113" s="25"/>
      <c r="B113" s="25"/>
      <c r="C113" s="25"/>
      <c r="D113" s="25"/>
      <c r="E113" s="25"/>
      <c r="F113" s="25"/>
      <c r="G113" s="26"/>
      <c r="H113" s="26"/>
      <c r="I113" s="26"/>
      <c r="J113" s="26"/>
      <c r="K113" s="25"/>
      <c r="L113" s="25"/>
      <c r="M113" s="25"/>
      <c r="N113" s="25"/>
      <c r="O113" s="25"/>
      <c r="P113" s="25"/>
      <c r="Q113" s="27"/>
      <c r="R113" s="25"/>
    </row>
    <row r="114" spans="1:18" x14ac:dyDescent="0.25">
      <c r="A114" s="25"/>
      <c r="B114" s="25"/>
      <c r="C114" s="25"/>
      <c r="D114" s="25"/>
      <c r="E114" s="25"/>
      <c r="F114" s="25"/>
      <c r="G114" s="26"/>
      <c r="H114" s="26"/>
      <c r="I114" s="26"/>
      <c r="J114" s="26"/>
      <c r="K114" s="25"/>
      <c r="L114" s="25"/>
      <c r="M114" s="25"/>
      <c r="N114" s="25"/>
      <c r="O114" s="25"/>
      <c r="P114" s="25"/>
      <c r="Q114" s="27"/>
      <c r="R114" s="25"/>
    </row>
    <row r="115" spans="1:18" x14ac:dyDescent="0.25">
      <c r="B115" s="8"/>
      <c r="C115" s="8"/>
      <c r="F115" s="14">
        <v>117</v>
      </c>
      <c r="K115">
        <f>96/104</f>
        <v>0.92307692307692313</v>
      </c>
    </row>
    <row r="116" spans="1:18" x14ac:dyDescent="0.25">
      <c r="B116" s="8"/>
      <c r="C116" s="9"/>
      <c r="D116" s="3" t="s">
        <v>36</v>
      </c>
      <c r="E116" s="3" t="s">
        <v>37</v>
      </c>
      <c r="F116" s="3" t="s">
        <v>54</v>
      </c>
      <c r="G116" s="3" t="s">
        <v>38</v>
      </c>
      <c r="K116" t="s">
        <v>453</v>
      </c>
    </row>
    <row r="117" spans="1:18" ht="18.75" x14ac:dyDescent="0.25">
      <c r="C117" s="4" t="s">
        <v>39</v>
      </c>
      <c r="D117" s="13">
        <v>34</v>
      </c>
      <c r="E117" s="5"/>
      <c r="F117" s="149">
        <f>SUM(D117:D119)</f>
        <v>104</v>
      </c>
      <c r="G117" s="150">
        <f>(F117-F115)/F115</f>
        <v>-0.1111111111111111</v>
      </c>
      <c r="K117" t="s">
        <v>453</v>
      </c>
    </row>
    <row r="118" spans="1:18" ht="18.75" x14ac:dyDescent="0.25">
      <c r="C118" s="4" t="s">
        <v>40</v>
      </c>
      <c r="D118" s="18">
        <v>36</v>
      </c>
      <c r="E118" s="13">
        <v>70</v>
      </c>
      <c r="F118" s="149"/>
      <c r="G118" s="150"/>
      <c r="K118" t="s">
        <v>453</v>
      </c>
    </row>
    <row r="119" spans="1:18" ht="18.75" x14ac:dyDescent="0.25">
      <c r="C119" s="4" t="s">
        <v>41</v>
      </c>
      <c r="D119" s="19">
        <v>34</v>
      </c>
      <c r="E119" s="13">
        <v>104</v>
      </c>
      <c r="F119" s="149"/>
      <c r="G119" s="150"/>
      <c r="K119" t="s">
        <v>453</v>
      </c>
    </row>
    <row r="120" spans="1:18" ht="18.75" x14ac:dyDescent="0.25">
      <c r="C120" s="4" t="s">
        <v>42</v>
      </c>
      <c r="D120" s="13"/>
      <c r="E120" s="13">
        <v>104</v>
      </c>
      <c r="F120" s="149">
        <f>SUM(D120:D122)</f>
        <v>0</v>
      </c>
      <c r="G120" s="150">
        <f>(F120-F117)/F117</f>
        <v>-1</v>
      </c>
      <c r="K120" t="s">
        <v>453</v>
      </c>
    </row>
    <row r="121" spans="1:18" ht="18.75" x14ac:dyDescent="0.25">
      <c r="C121" s="4" t="s">
        <v>43</v>
      </c>
      <c r="D121" s="13"/>
      <c r="E121" s="13">
        <v>104</v>
      </c>
      <c r="F121" s="149"/>
      <c r="G121" s="150"/>
      <c r="K121" t="s">
        <v>453</v>
      </c>
    </row>
    <row r="122" spans="1:18" ht="18.75" x14ac:dyDescent="0.25">
      <c r="C122" s="4" t="s">
        <v>44</v>
      </c>
      <c r="D122" s="13"/>
      <c r="E122" s="13">
        <v>104</v>
      </c>
      <c r="F122" s="149"/>
      <c r="G122" s="150"/>
      <c r="K122" t="s">
        <v>453</v>
      </c>
    </row>
    <row r="123" spans="1:18" ht="18.75" x14ac:dyDescent="0.25">
      <c r="C123" s="4" t="s">
        <v>45</v>
      </c>
      <c r="D123" s="13"/>
      <c r="E123" s="13">
        <v>104</v>
      </c>
      <c r="F123" s="149">
        <f>SUM(D123:D125)</f>
        <v>0</v>
      </c>
      <c r="G123" s="150" t="e">
        <f>(F123-F120)/F120</f>
        <v>#DIV/0!</v>
      </c>
    </row>
    <row r="124" spans="1:18" ht="18.75" x14ac:dyDescent="0.25">
      <c r="C124" s="4" t="s">
        <v>46</v>
      </c>
      <c r="D124" s="13"/>
      <c r="E124" s="13">
        <v>104</v>
      </c>
      <c r="F124" s="149"/>
      <c r="G124" s="150"/>
    </row>
    <row r="125" spans="1:18" ht="18.75" x14ac:dyDescent="0.25">
      <c r="C125" s="4" t="s">
        <v>47</v>
      </c>
      <c r="D125" s="13"/>
      <c r="E125" s="13">
        <v>104</v>
      </c>
      <c r="F125" s="149"/>
      <c r="G125" s="150"/>
    </row>
    <row r="126" spans="1:18" ht="18.75" x14ac:dyDescent="0.25">
      <c r="C126" s="4" t="s">
        <v>48</v>
      </c>
      <c r="D126" s="13"/>
      <c r="E126" s="13">
        <v>104</v>
      </c>
      <c r="F126" s="149">
        <f>SUM(D126:D128)</f>
        <v>0</v>
      </c>
      <c r="G126" s="150" t="e">
        <f>(F126-F123)/F123</f>
        <v>#DIV/0!</v>
      </c>
    </row>
    <row r="127" spans="1:18" ht="18.75" x14ac:dyDescent="0.25">
      <c r="C127" s="4" t="s">
        <v>49</v>
      </c>
      <c r="D127" s="13"/>
      <c r="E127" s="13">
        <v>104</v>
      </c>
      <c r="F127" s="149"/>
      <c r="G127" s="150"/>
      <c r="K127" s="10"/>
    </row>
    <row r="128" spans="1:18" ht="18.75" x14ac:dyDescent="0.25">
      <c r="C128" s="4" t="s">
        <v>50</v>
      </c>
      <c r="D128" s="13"/>
      <c r="E128" s="13">
        <v>104</v>
      </c>
      <c r="F128" s="149"/>
      <c r="G128" s="150"/>
    </row>
    <row r="129" spans="3:7" ht="30" x14ac:dyDescent="0.25">
      <c r="C129" s="6" t="s">
        <v>51</v>
      </c>
      <c r="D129" s="7">
        <v>104</v>
      </c>
      <c r="E129" s="5"/>
      <c r="F129" s="7">
        <f>SUM(F117:F128)</f>
        <v>104</v>
      </c>
      <c r="G129" s="5"/>
    </row>
  </sheetData>
  <autoFilter ref="A5:R109"/>
  <mergeCells count="17">
    <mergeCell ref="P1:R1"/>
    <mergeCell ref="P2:R2"/>
    <mergeCell ref="E3:F4"/>
    <mergeCell ref="G3:N4"/>
    <mergeCell ref="P3:R3"/>
    <mergeCell ref="P4:R4"/>
    <mergeCell ref="F126:F128"/>
    <mergeCell ref="G126:G128"/>
    <mergeCell ref="A1:D4"/>
    <mergeCell ref="E1:F2"/>
    <mergeCell ref="G1:N2"/>
    <mergeCell ref="F117:F119"/>
    <mergeCell ref="G117:G119"/>
    <mergeCell ref="F120:F122"/>
    <mergeCell ref="G120:G122"/>
    <mergeCell ref="F123:F125"/>
    <mergeCell ref="G123:G125"/>
  </mergeCells>
  <dataValidations count="4">
    <dataValidation type="list" allowBlank="1" showInputMessage="1" showErrorMessage="1" errorTitle="ALERTA" error="Tipo de canal no valido" sqref="N6:N114">
      <formula1>"TELEFONICO,WEB,ESCRITO,BUZÓN"</formula1>
    </dataValidation>
    <dataValidation type="list" allowBlank="1" showInputMessage="1" showErrorMessage="1" errorTitle="ALERTA" error="Usuario no valido" sqref="M6:M1048576">
      <formula1>"PLANEACION,SUBFINANCIERA,JURIDICA,DIRECCION,BAÑOS PUBLICOS,MISION BOGOTA,DESARROLLO HUMANO,COMEDORES,SUBMETODOS"</formula1>
    </dataValidation>
    <dataValidation type="list" allowBlank="1" showInputMessage="1" showErrorMessage="1" errorTitle="ALERTA" error="Tipo de requerimiento no valido" sqref="C1:C1048576">
      <formula1>"DENUNCIA,FELICITACIÓN,PETICIÓN INTERÉS PARTICULAR, PETICIÓN INTERÉS GENERAL,QUEJA,RECLAMO,SOLICITUD DE COPIA,SOLICITUD DE INFORMACIÓN,SUGERENCIA,CONSULTA"</formula1>
    </dataValidation>
    <dataValidation type="list" allowBlank="1" showInputMessage="1" showErrorMessage="1" errorTitle="ALERTA" error="Tipificación de servicio no valido" sqref="L1:L1048576">
      <formula1>"TEMAS MISIONALES UPIS,TEMAS ADMINISTRATIVOS,SOLICITUD DE INTERVENCION,TEMAS ADMINISTRATIVOS CONVENIOS,FUNCIONARIO Y/O TRABAJADOR PUBLICO,ALIMENTACIÓN,AGRADECIMIENTO POR SERVICIOS PRESTADOS,APOYO SOSTENIMIENTO,JÓVENES EN PAZ"</formula1>
    </dataValidation>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8" id="{2810C577-F2A3-489D-A6DB-A9E47F51D871}">
            <x14:iconSet iconSet="3Symbols" custom="1">
              <x14:cfvo type="percent">
                <xm:f>0</xm:f>
              </x14:cfvo>
              <x14:cfvo type="num">
                <xm:f>15</xm:f>
              </x14:cfvo>
              <x14:cfvo type="num">
                <xm:f>16</xm:f>
              </x14:cfvo>
              <x14:cfIcon iconSet="3Symbols" iconId="2"/>
              <x14:cfIcon iconSet="3Symbols" iconId="1"/>
              <x14:cfIcon iconSet="3Symbols" iconId="0"/>
            </x14:iconSet>
          </x14:cfRule>
          <xm:sqref>Q19:Q27</xm:sqref>
        </x14:conditionalFormatting>
        <x14:conditionalFormatting xmlns:xm="http://schemas.microsoft.com/office/excel/2006/main">
          <x14:cfRule type="iconSet" priority="4" id="{FD125D5D-15F9-462F-A9BC-FA8851AFFFBF}">
            <x14:iconSet iconSet="3Symbols" custom="1">
              <x14:cfvo type="percent">
                <xm:f>0</xm:f>
              </x14:cfvo>
              <x14:cfvo type="num">
                <xm:f>15</xm:f>
              </x14:cfvo>
              <x14:cfvo type="num">
                <xm:f>16</xm:f>
              </x14:cfvo>
              <x14:cfIcon iconSet="3Symbols" iconId="2"/>
              <x14:cfIcon iconSet="3Symbols" iconId="1"/>
              <x14:cfIcon iconSet="3Symbols" iconId="0"/>
            </x14:iconSet>
          </x14:cfRule>
          <xm:sqref>Q78:Q90 Q62:Q76</xm:sqref>
        </x14:conditionalFormatting>
        <x14:conditionalFormatting xmlns:xm="http://schemas.microsoft.com/office/excel/2006/main">
          <x14:cfRule type="iconSet" priority="3" id="{765CB6A5-EAC9-4BD5-A463-363483EAFB17}">
            <x14:iconSet iconSet="3Symbols" custom="1">
              <x14:cfvo type="percent">
                <xm:f>0</xm:f>
              </x14:cfvo>
              <x14:cfvo type="num">
                <xm:f>15</xm:f>
              </x14:cfvo>
              <x14:cfvo type="num">
                <xm:f>16</xm:f>
              </x14:cfvo>
              <x14:cfIcon iconSet="3Symbols" iconId="2"/>
              <x14:cfIcon iconSet="3Symbols" iconId="1"/>
              <x14:cfIcon iconSet="3Symbols" iconId="0"/>
            </x14:iconSet>
          </x14:cfRule>
          <xm:sqref>Q77</xm:sqref>
        </x14:conditionalFormatting>
        <x14:conditionalFormatting xmlns:xm="http://schemas.microsoft.com/office/excel/2006/main">
          <x14:cfRule type="iconSet" priority="2" id="{2E1A348F-F5EA-4002-964D-22080F9BD2E3}">
            <x14:iconSet iconSet="3Symbols" custom="1">
              <x14:cfvo type="percent">
                <xm:f>0</xm:f>
              </x14:cfvo>
              <x14:cfvo type="num">
                <xm:f>15</xm:f>
              </x14:cfvo>
              <x14:cfvo type="num">
                <xm:f>16</xm:f>
              </x14:cfvo>
              <x14:cfIcon iconSet="3Symbols" iconId="2"/>
              <x14:cfIcon iconSet="3Symbols" iconId="1"/>
              <x14:cfIcon iconSet="3Symbols" iconId="0"/>
            </x14:iconSet>
          </x14:cfRule>
          <xm:sqref>Q92:Q103</xm:sqref>
        </x14:conditionalFormatting>
        <x14:conditionalFormatting xmlns:xm="http://schemas.microsoft.com/office/excel/2006/main">
          <x14:cfRule type="iconSet" priority="46" id="{D8FDC0B2-6F5F-481A-B289-B0E1346F3AE4}">
            <x14:iconSet iconSet="3Symbols" custom="1">
              <x14:cfvo type="percent">
                <xm:f>0</xm:f>
              </x14:cfvo>
              <x14:cfvo type="num">
                <xm:f>15</xm:f>
              </x14:cfvo>
              <x14:cfvo type="num">
                <xm:f>16</xm:f>
              </x14:cfvo>
              <x14:cfIcon iconSet="3Symbols" iconId="2"/>
              <x14:cfIcon iconSet="3Symbols" iconId="1"/>
              <x14:cfIcon iconSet="3Symbols" iconId="0"/>
            </x14:iconSet>
          </x14:cfRule>
          <xm:sqref>Q28:Q29 Q6:Q18</xm:sqref>
        </x14:conditionalFormatting>
        <x14:conditionalFormatting xmlns:xm="http://schemas.microsoft.com/office/excel/2006/main">
          <x14:cfRule type="iconSet" priority="48" id="{2E0CDAEA-6A7E-466D-83DB-C632A5C309C4}">
            <x14:iconSet iconSet="3Symbols" custom="1">
              <x14:cfvo type="percent">
                <xm:f>0</xm:f>
              </x14:cfvo>
              <x14:cfvo type="num">
                <xm:f>15</xm:f>
              </x14:cfvo>
              <x14:cfvo type="num">
                <xm:f>16</xm:f>
              </x14:cfvo>
              <x14:cfIcon iconSet="3Symbols" iconId="2"/>
              <x14:cfIcon iconSet="3Symbols" iconId="1"/>
              <x14:cfIcon iconSet="3Symbols" iconId="0"/>
            </x14:iconSet>
          </x14:cfRule>
          <xm:sqref>Q30:Q42</xm:sqref>
        </x14:conditionalFormatting>
        <x14:conditionalFormatting xmlns:xm="http://schemas.microsoft.com/office/excel/2006/main">
          <x14:cfRule type="iconSet" priority="49" id="{FAD78456-DFE8-4B53-A2C6-CA5767EA5EE8}">
            <x14:iconSet iconSet="3Symbols" custom="1">
              <x14:cfvo type="percent">
                <xm:f>0</xm:f>
              </x14:cfvo>
              <x14:cfvo type="num">
                <xm:f>15</xm:f>
              </x14:cfvo>
              <x14:cfvo type="num">
                <xm:f>16</xm:f>
              </x14:cfvo>
              <x14:cfIcon iconSet="3Symbols" iconId="2"/>
              <x14:cfIcon iconSet="3Symbols" iconId="1"/>
              <x14:cfIcon iconSet="3Symbols" iconId="0"/>
            </x14:iconSet>
          </x14:cfRule>
          <xm:sqref>Q43:Q55</xm:sqref>
        </x14:conditionalFormatting>
        <x14:conditionalFormatting xmlns:xm="http://schemas.microsoft.com/office/excel/2006/main">
          <x14:cfRule type="iconSet" priority="50" id="{2A052BAC-9734-41ED-AB8A-9F75E25EE50E}">
            <x14:iconSet iconSet="3Symbols" custom="1">
              <x14:cfvo type="percent">
                <xm:f>0</xm:f>
              </x14:cfvo>
              <x14:cfvo type="num">
                <xm:f>15</xm:f>
              </x14:cfvo>
              <x14:cfvo type="num">
                <xm:f>16</xm:f>
              </x14:cfvo>
              <x14:cfIcon iconSet="3Symbols" iconId="2"/>
              <x14:cfIcon iconSet="3Symbols" iconId="1"/>
              <x14:cfIcon iconSet="3Symbols" iconId="0"/>
            </x14:iconSet>
          </x14:cfRule>
          <xm:sqref>Q91 Q56:Q61 Q104</xm:sqref>
        </x14:conditionalFormatting>
        <x14:conditionalFormatting xmlns:xm="http://schemas.microsoft.com/office/excel/2006/main">
          <x14:cfRule type="iconSet" priority="53" id="{C06CFEEC-F274-4331-A64D-1050A7DF4D1F}">
            <x14:iconSet iconSet="3Symbols" custom="1">
              <x14:cfvo type="percent">
                <xm:f>0</xm:f>
              </x14:cfvo>
              <x14:cfvo type="num">
                <xm:f>15</xm:f>
              </x14:cfvo>
              <x14:cfvo type="num">
                <xm:f>16</xm:f>
              </x14:cfvo>
              <x14:cfIcon iconSet="3Symbols" iconId="2"/>
              <x14:cfIcon iconSet="3Symbols" iconId="1"/>
              <x14:cfIcon iconSet="3Symbols" iconId="0"/>
            </x14:iconSet>
          </x14:cfRule>
          <xm:sqref>Q105:Q114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6"/>
  <sheetViews>
    <sheetView topLeftCell="A116" workbookViewId="0">
      <selection activeCell="B116" sqref="A116:B116"/>
    </sheetView>
  </sheetViews>
  <sheetFormatPr baseColWidth="10" defaultRowHeight="15" x14ac:dyDescent="0.25"/>
  <cols>
    <col min="1" max="1" width="19.7109375" customWidth="1"/>
    <col min="2" max="2" width="6" customWidth="1"/>
    <col min="3" max="3" width="4" customWidth="1"/>
    <col min="4" max="4" width="4.42578125" customWidth="1"/>
    <col min="5" max="5" width="12.5703125" customWidth="1"/>
    <col min="6" max="12" width="9.85546875" customWidth="1"/>
    <col min="13" max="26" width="9.42578125" customWidth="1"/>
    <col min="27" max="37" width="9.85546875" customWidth="1"/>
    <col min="38" max="38" width="12.5703125" bestFit="1" customWidth="1"/>
  </cols>
  <sheetData>
    <row r="1" spans="1:5" x14ac:dyDescent="0.25">
      <c r="A1" s="20" t="s">
        <v>428</v>
      </c>
      <c r="B1" s="20" t="s">
        <v>429</v>
      </c>
    </row>
    <row r="2" spans="1:5" x14ac:dyDescent="0.25">
      <c r="A2" s="20" t="s">
        <v>426</v>
      </c>
      <c r="B2" s="23" t="s">
        <v>430</v>
      </c>
      <c r="C2" s="23" t="s">
        <v>431</v>
      </c>
      <c r="D2" s="23" t="s">
        <v>432</v>
      </c>
      <c r="E2" s="23" t="s">
        <v>427</v>
      </c>
    </row>
    <row r="3" spans="1:5" x14ac:dyDescent="0.25">
      <c r="A3" s="21" t="s">
        <v>109</v>
      </c>
      <c r="B3" s="22">
        <v>1</v>
      </c>
      <c r="C3" s="22"/>
      <c r="D3" s="22"/>
      <c r="E3" s="22">
        <v>1</v>
      </c>
    </row>
    <row r="4" spans="1:5" x14ac:dyDescent="0.25">
      <c r="A4" s="21" t="s">
        <v>136</v>
      </c>
      <c r="B4" s="22">
        <v>5</v>
      </c>
      <c r="C4" s="22">
        <v>5</v>
      </c>
      <c r="D4" s="22">
        <v>2</v>
      </c>
      <c r="E4" s="22">
        <v>12</v>
      </c>
    </row>
    <row r="5" spans="1:5" x14ac:dyDescent="0.25">
      <c r="A5" s="21" t="s">
        <v>135</v>
      </c>
      <c r="B5" s="22">
        <v>11</v>
      </c>
      <c r="C5" s="22">
        <v>12</v>
      </c>
      <c r="D5" s="22">
        <v>14</v>
      </c>
      <c r="E5" s="22">
        <v>37</v>
      </c>
    </row>
    <row r="6" spans="1:5" x14ac:dyDescent="0.25">
      <c r="A6" s="21" t="s">
        <v>72</v>
      </c>
      <c r="B6" s="22">
        <v>4</v>
      </c>
      <c r="C6" s="22">
        <v>7</v>
      </c>
      <c r="D6" s="22">
        <v>2</v>
      </c>
      <c r="E6" s="22">
        <v>13</v>
      </c>
    </row>
    <row r="7" spans="1:5" x14ac:dyDescent="0.25">
      <c r="A7" s="21" t="s">
        <v>107</v>
      </c>
      <c r="B7" s="22">
        <v>3</v>
      </c>
      <c r="C7" s="22">
        <v>5</v>
      </c>
      <c r="D7" s="22">
        <v>4</v>
      </c>
      <c r="E7" s="22">
        <v>12</v>
      </c>
    </row>
    <row r="8" spans="1:5" x14ac:dyDescent="0.25">
      <c r="A8" s="21" t="s">
        <v>91</v>
      </c>
      <c r="B8" s="22">
        <v>1</v>
      </c>
      <c r="C8" s="22">
        <v>1</v>
      </c>
      <c r="D8" s="22"/>
      <c r="E8" s="22">
        <v>2</v>
      </c>
    </row>
    <row r="9" spans="1:5" x14ac:dyDescent="0.25">
      <c r="A9" s="21" t="s">
        <v>81</v>
      </c>
      <c r="B9" s="22">
        <v>3</v>
      </c>
      <c r="C9" s="22">
        <v>3</v>
      </c>
      <c r="D9" s="22">
        <v>2</v>
      </c>
      <c r="E9" s="22">
        <v>8</v>
      </c>
    </row>
    <row r="10" spans="1:5" x14ac:dyDescent="0.25">
      <c r="A10" s="21" t="s">
        <v>108</v>
      </c>
      <c r="B10" s="22">
        <v>6</v>
      </c>
      <c r="C10" s="22">
        <v>3</v>
      </c>
      <c r="D10" s="22">
        <v>10</v>
      </c>
      <c r="E10" s="22">
        <v>19</v>
      </c>
    </row>
    <row r="11" spans="1:5" x14ac:dyDescent="0.25">
      <c r="A11" s="21" t="s">
        <v>427</v>
      </c>
      <c r="B11" s="22">
        <v>34</v>
      </c>
      <c r="C11" s="22">
        <v>36</v>
      </c>
      <c r="D11" s="22">
        <v>34</v>
      </c>
      <c r="E11" s="22">
        <v>104</v>
      </c>
    </row>
    <row r="16" spans="1:5" x14ac:dyDescent="0.25">
      <c r="A16" s="20" t="s">
        <v>428</v>
      </c>
      <c r="B16" s="20" t="s">
        <v>429</v>
      </c>
    </row>
    <row r="17" spans="1:5" x14ac:dyDescent="0.25">
      <c r="A17" s="20" t="s">
        <v>426</v>
      </c>
      <c r="B17" s="23" t="s">
        <v>430</v>
      </c>
      <c r="C17" s="23" t="s">
        <v>431</v>
      </c>
      <c r="D17" s="23" t="s">
        <v>432</v>
      </c>
      <c r="E17" s="23" t="s">
        <v>427</v>
      </c>
    </row>
    <row r="18" spans="1:5" x14ac:dyDescent="0.25">
      <c r="A18" s="21" t="s">
        <v>150</v>
      </c>
      <c r="B18" s="22">
        <v>2</v>
      </c>
      <c r="C18" s="22">
        <v>8</v>
      </c>
      <c r="D18" s="22"/>
      <c r="E18" s="22">
        <v>10</v>
      </c>
    </row>
    <row r="19" spans="1:5" x14ac:dyDescent="0.25">
      <c r="A19" s="24" t="s">
        <v>177</v>
      </c>
      <c r="B19" s="22">
        <v>2</v>
      </c>
      <c r="C19" s="22">
        <v>1</v>
      </c>
      <c r="D19" s="22"/>
      <c r="E19" s="22">
        <v>3</v>
      </c>
    </row>
    <row r="20" spans="1:5" x14ac:dyDescent="0.25">
      <c r="A20" s="24" t="s">
        <v>31</v>
      </c>
      <c r="B20" s="22"/>
      <c r="C20" s="22">
        <v>7</v>
      </c>
      <c r="D20" s="22"/>
      <c r="E20" s="22">
        <v>7</v>
      </c>
    </row>
    <row r="21" spans="1:5" x14ac:dyDescent="0.25">
      <c r="A21" s="21" t="s">
        <v>32</v>
      </c>
      <c r="B21" s="22">
        <v>2</v>
      </c>
      <c r="C21" s="22">
        <v>1</v>
      </c>
      <c r="D21" s="22">
        <v>2</v>
      </c>
      <c r="E21" s="22">
        <v>5</v>
      </c>
    </row>
    <row r="22" spans="1:5" x14ac:dyDescent="0.25">
      <c r="A22" s="24" t="s">
        <v>112</v>
      </c>
      <c r="B22" s="22">
        <v>1</v>
      </c>
      <c r="C22" s="22"/>
      <c r="D22" s="22"/>
      <c r="E22" s="22">
        <v>1</v>
      </c>
    </row>
    <row r="23" spans="1:5" x14ac:dyDescent="0.25">
      <c r="A23" s="24" t="s">
        <v>372</v>
      </c>
      <c r="B23" s="22"/>
      <c r="C23" s="22"/>
      <c r="D23" s="22">
        <v>1</v>
      </c>
      <c r="E23" s="22">
        <v>1</v>
      </c>
    </row>
    <row r="24" spans="1:5" x14ac:dyDescent="0.25">
      <c r="A24" s="24" t="s">
        <v>31</v>
      </c>
      <c r="B24" s="22">
        <v>1</v>
      </c>
      <c r="C24" s="22"/>
      <c r="D24" s="22"/>
      <c r="E24" s="22">
        <v>1</v>
      </c>
    </row>
    <row r="25" spans="1:5" x14ac:dyDescent="0.25">
      <c r="A25" s="24" t="s">
        <v>300</v>
      </c>
      <c r="B25" s="22"/>
      <c r="C25" s="22">
        <v>1</v>
      </c>
      <c r="D25" s="22">
        <v>1</v>
      </c>
      <c r="E25" s="22">
        <v>2</v>
      </c>
    </row>
    <row r="26" spans="1:5" x14ac:dyDescent="0.25">
      <c r="A26" s="21" t="s">
        <v>93</v>
      </c>
      <c r="B26" s="22">
        <v>2</v>
      </c>
      <c r="C26" s="22">
        <v>2</v>
      </c>
      <c r="D26" s="22">
        <v>3</v>
      </c>
      <c r="E26" s="22">
        <v>7</v>
      </c>
    </row>
    <row r="27" spans="1:5" x14ac:dyDescent="0.25">
      <c r="A27" s="24" t="s">
        <v>177</v>
      </c>
      <c r="B27" s="22"/>
      <c r="C27" s="22">
        <v>1</v>
      </c>
      <c r="D27" s="22"/>
      <c r="E27" s="22">
        <v>1</v>
      </c>
    </row>
    <row r="28" spans="1:5" x14ac:dyDescent="0.25">
      <c r="A28" s="24" t="s">
        <v>31</v>
      </c>
      <c r="B28" s="22">
        <v>2</v>
      </c>
      <c r="C28" s="22">
        <v>1</v>
      </c>
      <c r="D28" s="22">
        <v>3</v>
      </c>
      <c r="E28" s="22">
        <v>6</v>
      </c>
    </row>
    <row r="29" spans="1:5" x14ac:dyDescent="0.25">
      <c r="A29" s="21" t="s">
        <v>30</v>
      </c>
      <c r="B29" s="22">
        <v>1</v>
      </c>
      <c r="C29" s="22">
        <v>1</v>
      </c>
      <c r="D29" s="22"/>
      <c r="E29" s="22">
        <v>2</v>
      </c>
    </row>
    <row r="30" spans="1:5" x14ac:dyDescent="0.25">
      <c r="A30" s="24" t="s">
        <v>31</v>
      </c>
      <c r="B30" s="22">
        <v>1</v>
      </c>
      <c r="C30" s="22">
        <v>1</v>
      </c>
      <c r="D30" s="22"/>
      <c r="E30" s="22">
        <v>2</v>
      </c>
    </row>
    <row r="31" spans="1:5" x14ac:dyDescent="0.25">
      <c r="A31" s="21" t="s">
        <v>77</v>
      </c>
      <c r="B31" s="22">
        <v>2</v>
      </c>
      <c r="C31" s="22">
        <v>2</v>
      </c>
      <c r="D31" s="22">
        <v>1</v>
      </c>
      <c r="E31" s="22">
        <v>5</v>
      </c>
    </row>
    <row r="32" spans="1:5" x14ac:dyDescent="0.25">
      <c r="A32" s="24" t="s">
        <v>177</v>
      </c>
      <c r="B32" s="22"/>
      <c r="C32" s="22">
        <v>1</v>
      </c>
      <c r="D32" s="22"/>
      <c r="E32" s="22">
        <v>1</v>
      </c>
    </row>
    <row r="33" spans="1:5" x14ac:dyDescent="0.25">
      <c r="A33" s="24" t="s">
        <v>31</v>
      </c>
      <c r="B33" s="22">
        <v>2</v>
      </c>
      <c r="C33" s="22">
        <v>1</v>
      </c>
      <c r="D33" s="22">
        <v>1</v>
      </c>
      <c r="E33" s="22">
        <v>4</v>
      </c>
    </row>
    <row r="34" spans="1:5" x14ac:dyDescent="0.25">
      <c r="A34" s="21" t="s">
        <v>83</v>
      </c>
      <c r="B34" s="22">
        <v>5</v>
      </c>
      <c r="C34" s="22">
        <v>4</v>
      </c>
      <c r="D34" s="22">
        <v>5</v>
      </c>
      <c r="E34" s="22">
        <v>14</v>
      </c>
    </row>
    <row r="35" spans="1:5" x14ac:dyDescent="0.25">
      <c r="A35" s="24" t="s">
        <v>177</v>
      </c>
      <c r="B35" s="22"/>
      <c r="C35" s="22">
        <v>1</v>
      </c>
      <c r="D35" s="22"/>
      <c r="E35" s="22">
        <v>1</v>
      </c>
    </row>
    <row r="36" spans="1:5" x14ac:dyDescent="0.25">
      <c r="A36" s="24" t="s">
        <v>31</v>
      </c>
      <c r="B36" s="22">
        <v>5</v>
      </c>
      <c r="C36" s="22">
        <v>3</v>
      </c>
      <c r="D36" s="22">
        <v>5</v>
      </c>
      <c r="E36" s="22">
        <v>13</v>
      </c>
    </row>
    <row r="37" spans="1:5" x14ac:dyDescent="0.25">
      <c r="A37" s="21" t="s">
        <v>52</v>
      </c>
      <c r="B37" s="22">
        <v>3</v>
      </c>
      <c r="C37" s="22"/>
      <c r="D37" s="22">
        <v>1</v>
      </c>
      <c r="E37" s="22">
        <v>4</v>
      </c>
    </row>
    <row r="38" spans="1:5" x14ac:dyDescent="0.25">
      <c r="A38" s="24" t="s">
        <v>31</v>
      </c>
      <c r="B38" s="22">
        <v>3</v>
      </c>
      <c r="C38" s="22"/>
      <c r="D38" s="22">
        <v>1</v>
      </c>
      <c r="E38" s="22">
        <v>4</v>
      </c>
    </row>
    <row r="39" spans="1:5" x14ac:dyDescent="0.25">
      <c r="A39" s="21" t="s">
        <v>78</v>
      </c>
      <c r="B39" s="22">
        <v>2</v>
      </c>
      <c r="C39" s="22">
        <v>2</v>
      </c>
      <c r="D39" s="22">
        <v>2</v>
      </c>
      <c r="E39" s="22">
        <v>6</v>
      </c>
    </row>
    <row r="40" spans="1:5" x14ac:dyDescent="0.25">
      <c r="A40" s="24" t="s">
        <v>234</v>
      </c>
      <c r="B40" s="22">
        <v>1</v>
      </c>
      <c r="C40" s="22"/>
      <c r="D40" s="22"/>
      <c r="E40" s="22">
        <v>1</v>
      </c>
    </row>
    <row r="41" spans="1:5" x14ac:dyDescent="0.25">
      <c r="A41" s="24" t="s">
        <v>177</v>
      </c>
      <c r="B41" s="22"/>
      <c r="C41" s="22">
        <v>1</v>
      </c>
      <c r="D41" s="22">
        <v>1</v>
      </c>
      <c r="E41" s="22">
        <v>2</v>
      </c>
    </row>
    <row r="42" spans="1:5" x14ac:dyDescent="0.25">
      <c r="A42" s="24" t="s">
        <v>31</v>
      </c>
      <c r="B42" s="22">
        <v>1</v>
      </c>
      <c r="C42" s="22">
        <v>1</v>
      </c>
      <c r="D42" s="22">
        <v>1</v>
      </c>
      <c r="E42" s="22">
        <v>3</v>
      </c>
    </row>
    <row r="43" spans="1:5" x14ac:dyDescent="0.25">
      <c r="A43" s="21" t="s">
        <v>29</v>
      </c>
      <c r="B43" s="22">
        <v>15</v>
      </c>
      <c r="C43" s="22">
        <v>16</v>
      </c>
      <c r="D43" s="22">
        <v>20</v>
      </c>
      <c r="E43" s="22">
        <v>51</v>
      </c>
    </row>
    <row r="44" spans="1:5" x14ac:dyDescent="0.25">
      <c r="A44" s="24" t="s">
        <v>177</v>
      </c>
      <c r="B44" s="22"/>
      <c r="C44" s="22">
        <v>2</v>
      </c>
      <c r="D44" s="22"/>
      <c r="E44" s="22">
        <v>2</v>
      </c>
    </row>
    <row r="45" spans="1:5" x14ac:dyDescent="0.25">
      <c r="A45" s="24" t="s">
        <v>79</v>
      </c>
      <c r="B45" s="22">
        <v>2</v>
      </c>
      <c r="C45" s="22"/>
      <c r="D45" s="22">
        <v>1</v>
      </c>
      <c r="E45" s="22">
        <v>3</v>
      </c>
    </row>
    <row r="46" spans="1:5" x14ac:dyDescent="0.25">
      <c r="A46" s="24" t="s">
        <v>259</v>
      </c>
      <c r="B46" s="22"/>
      <c r="C46" s="22">
        <v>1</v>
      </c>
      <c r="D46" s="22"/>
      <c r="E46" s="22">
        <v>1</v>
      </c>
    </row>
    <row r="47" spans="1:5" x14ac:dyDescent="0.25">
      <c r="A47" s="24" t="s">
        <v>31</v>
      </c>
      <c r="B47" s="22">
        <v>5</v>
      </c>
      <c r="C47" s="22">
        <v>9</v>
      </c>
      <c r="D47" s="22">
        <v>12</v>
      </c>
      <c r="E47" s="22">
        <v>26</v>
      </c>
    </row>
    <row r="48" spans="1:5" x14ac:dyDescent="0.25">
      <c r="A48" s="24" t="s">
        <v>33</v>
      </c>
      <c r="B48" s="22">
        <v>8</v>
      </c>
      <c r="C48" s="22">
        <v>4</v>
      </c>
      <c r="D48" s="22">
        <v>7</v>
      </c>
      <c r="E48" s="22">
        <v>19</v>
      </c>
    </row>
    <row r="49" spans="1:5" x14ac:dyDescent="0.25">
      <c r="A49" s="21" t="s">
        <v>427</v>
      </c>
      <c r="B49" s="22">
        <v>34</v>
      </c>
      <c r="C49" s="22">
        <v>36</v>
      </c>
      <c r="D49" s="22">
        <v>34</v>
      </c>
      <c r="E49" s="22">
        <v>104</v>
      </c>
    </row>
    <row r="60" spans="1:5" x14ac:dyDescent="0.25">
      <c r="A60" s="20" t="s">
        <v>428</v>
      </c>
      <c r="B60" s="20" t="s">
        <v>429</v>
      </c>
    </row>
    <row r="61" spans="1:5" x14ac:dyDescent="0.25">
      <c r="A61" s="20" t="s">
        <v>426</v>
      </c>
      <c r="B61" s="23" t="s">
        <v>430</v>
      </c>
      <c r="C61" s="23" t="s">
        <v>431</v>
      </c>
      <c r="D61" s="23" t="s">
        <v>432</v>
      </c>
      <c r="E61" s="23" t="s">
        <v>427</v>
      </c>
    </row>
    <row r="62" spans="1:5" x14ac:dyDescent="0.25">
      <c r="A62" s="21" t="s">
        <v>433</v>
      </c>
      <c r="B62" s="22">
        <v>32</v>
      </c>
      <c r="C62" s="22">
        <v>32</v>
      </c>
      <c r="D62" s="22">
        <v>32</v>
      </c>
      <c r="E62" s="22">
        <v>96</v>
      </c>
    </row>
    <row r="63" spans="1:5" x14ac:dyDescent="0.25">
      <c r="A63" s="24" t="s">
        <v>150</v>
      </c>
      <c r="B63" s="22">
        <v>2</v>
      </c>
      <c r="C63" s="22">
        <v>5</v>
      </c>
      <c r="D63" s="22"/>
      <c r="E63" s="22">
        <v>7</v>
      </c>
    </row>
    <row r="64" spans="1:5" x14ac:dyDescent="0.25">
      <c r="A64" s="24" t="s">
        <v>32</v>
      </c>
      <c r="B64" s="22">
        <v>2</v>
      </c>
      <c r="C64" s="22">
        <v>1</v>
      </c>
      <c r="D64" s="22">
        <v>2</v>
      </c>
      <c r="E64" s="22">
        <v>5</v>
      </c>
    </row>
    <row r="65" spans="1:5" x14ac:dyDescent="0.25">
      <c r="A65" s="24" t="s">
        <v>93</v>
      </c>
      <c r="B65" s="22">
        <v>2</v>
      </c>
      <c r="C65" s="22">
        <v>2</v>
      </c>
      <c r="D65" s="22">
        <v>3</v>
      </c>
      <c r="E65" s="22">
        <v>7</v>
      </c>
    </row>
    <row r="66" spans="1:5" x14ac:dyDescent="0.25">
      <c r="A66" s="24" t="s">
        <v>30</v>
      </c>
      <c r="B66" s="22">
        <v>1</v>
      </c>
      <c r="C66" s="22">
        <v>1</v>
      </c>
      <c r="D66" s="22"/>
      <c r="E66" s="22">
        <v>2</v>
      </c>
    </row>
    <row r="67" spans="1:5" x14ac:dyDescent="0.25">
      <c r="A67" s="24" t="s">
        <v>77</v>
      </c>
      <c r="B67" s="22">
        <v>2</v>
      </c>
      <c r="C67" s="22">
        <v>2</v>
      </c>
      <c r="D67" s="22"/>
      <c r="E67" s="22">
        <v>4</v>
      </c>
    </row>
    <row r="68" spans="1:5" x14ac:dyDescent="0.25">
      <c r="A68" s="24" t="s">
        <v>83</v>
      </c>
      <c r="B68" s="22">
        <v>4</v>
      </c>
      <c r="C68" s="22">
        <v>4</v>
      </c>
      <c r="D68" s="22">
        <v>5</v>
      </c>
      <c r="E68" s="22">
        <v>13</v>
      </c>
    </row>
    <row r="69" spans="1:5" x14ac:dyDescent="0.25">
      <c r="A69" s="24" t="s">
        <v>52</v>
      </c>
      <c r="B69" s="22">
        <v>3</v>
      </c>
      <c r="C69" s="22"/>
      <c r="D69" s="22">
        <v>1</v>
      </c>
      <c r="E69" s="22">
        <v>4</v>
      </c>
    </row>
    <row r="70" spans="1:5" x14ac:dyDescent="0.25">
      <c r="A70" s="24" t="s">
        <v>78</v>
      </c>
      <c r="B70" s="22">
        <v>1</v>
      </c>
      <c r="C70" s="22">
        <v>2</v>
      </c>
      <c r="D70" s="22">
        <v>2</v>
      </c>
      <c r="E70" s="22">
        <v>5</v>
      </c>
    </row>
    <row r="71" spans="1:5" x14ac:dyDescent="0.25">
      <c r="A71" s="24" t="s">
        <v>29</v>
      </c>
      <c r="B71" s="22">
        <v>15</v>
      </c>
      <c r="C71" s="22">
        <v>15</v>
      </c>
      <c r="D71" s="22">
        <v>19</v>
      </c>
      <c r="E71" s="22">
        <v>49</v>
      </c>
    </row>
    <row r="72" spans="1:5" x14ac:dyDescent="0.25">
      <c r="A72" s="21" t="s">
        <v>434</v>
      </c>
      <c r="B72" s="22"/>
      <c r="C72" s="22"/>
      <c r="D72" s="22">
        <v>2</v>
      </c>
      <c r="E72" s="22">
        <v>2</v>
      </c>
    </row>
    <row r="73" spans="1:5" x14ac:dyDescent="0.25">
      <c r="A73" s="24" t="s">
        <v>77</v>
      </c>
      <c r="B73" s="22"/>
      <c r="C73" s="22"/>
      <c r="D73" s="22">
        <v>1</v>
      </c>
      <c r="E73" s="22">
        <v>1</v>
      </c>
    </row>
    <row r="74" spans="1:5" x14ac:dyDescent="0.25">
      <c r="A74" s="24" t="s">
        <v>29</v>
      </c>
      <c r="B74" s="22"/>
      <c r="C74" s="22"/>
      <c r="D74" s="22">
        <v>1</v>
      </c>
      <c r="E74" s="22">
        <v>1</v>
      </c>
    </row>
    <row r="75" spans="1:5" x14ac:dyDescent="0.25">
      <c r="A75" s="21" t="s">
        <v>435</v>
      </c>
      <c r="B75" s="22">
        <v>2</v>
      </c>
      <c r="C75" s="22">
        <v>4</v>
      </c>
      <c r="D75" s="22"/>
      <c r="E75" s="22">
        <v>6</v>
      </c>
    </row>
    <row r="76" spans="1:5" x14ac:dyDescent="0.25">
      <c r="A76" s="24" t="s">
        <v>150</v>
      </c>
      <c r="B76" s="22"/>
      <c r="C76" s="22">
        <v>3</v>
      </c>
      <c r="D76" s="22"/>
      <c r="E76" s="22">
        <v>3</v>
      </c>
    </row>
    <row r="77" spans="1:5" x14ac:dyDescent="0.25">
      <c r="A77" s="24" t="s">
        <v>83</v>
      </c>
      <c r="B77" s="22">
        <v>1</v>
      </c>
      <c r="C77" s="22"/>
      <c r="D77" s="22"/>
      <c r="E77" s="22">
        <v>1</v>
      </c>
    </row>
    <row r="78" spans="1:5" x14ac:dyDescent="0.25">
      <c r="A78" s="24" t="s">
        <v>78</v>
      </c>
      <c r="B78" s="22">
        <v>1</v>
      </c>
      <c r="C78" s="22"/>
      <c r="D78" s="22"/>
      <c r="E78" s="22">
        <v>1</v>
      </c>
    </row>
    <row r="79" spans="1:5" x14ac:dyDescent="0.25">
      <c r="A79" s="24" t="s">
        <v>29</v>
      </c>
      <c r="B79" s="22"/>
      <c r="C79" s="22">
        <v>1</v>
      </c>
      <c r="D79" s="22"/>
      <c r="E79" s="22">
        <v>1</v>
      </c>
    </row>
    <row r="80" spans="1:5" x14ac:dyDescent="0.25">
      <c r="A80" s="21" t="s">
        <v>427</v>
      </c>
      <c r="B80" s="22">
        <v>34</v>
      </c>
      <c r="C80" s="22">
        <v>36</v>
      </c>
      <c r="D80" s="22">
        <v>34</v>
      </c>
      <c r="E80" s="22">
        <v>104</v>
      </c>
    </row>
    <row r="83" spans="1:6" x14ac:dyDescent="0.25">
      <c r="A83" s="20" t="s">
        <v>428</v>
      </c>
      <c r="B83" s="20" t="s">
        <v>429</v>
      </c>
    </row>
    <row r="84" spans="1:6" x14ac:dyDescent="0.25">
      <c r="A84" s="20" t="s">
        <v>426</v>
      </c>
      <c r="B84" s="23" t="s">
        <v>430</v>
      </c>
      <c r="C84" s="23" t="s">
        <v>431</v>
      </c>
      <c r="D84" s="23" t="s">
        <v>432</v>
      </c>
      <c r="E84" s="23" t="s">
        <v>427</v>
      </c>
    </row>
    <row r="85" spans="1:6" x14ac:dyDescent="0.25">
      <c r="A85" s="21" t="s">
        <v>72</v>
      </c>
      <c r="B85" s="22">
        <v>4</v>
      </c>
      <c r="C85" s="22">
        <v>7</v>
      </c>
      <c r="D85" s="22">
        <v>2</v>
      </c>
      <c r="E85" s="22">
        <v>13</v>
      </c>
    </row>
    <row r="86" spans="1:6" x14ac:dyDescent="0.25">
      <c r="A86" s="24" t="s">
        <v>77</v>
      </c>
      <c r="B86" s="22"/>
      <c r="C86" s="22">
        <v>1</v>
      </c>
      <c r="D86" s="22"/>
      <c r="E86" s="22">
        <v>1</v>
      </c>
      <c r="F86" s="97">
        <f>+GETPIVOTDATA("TIPO REQ.",$A$83,"TIPO REQ.","QUEJA","CLASIFICADO A","JURIDICA")/13</f>
        <v>7.6923076923076927E-2</v>
      </c>
    </row>
    <row r="87" spans="1:6" x14ac:dyDescent="0.25">
      <c r="A87" s="24" t="s">
        <v>83</v>
      </c>
      <c r="B87" s="22"/>
      <c r="C87" s="22">
        <v>1</v>
      </c>
      <c r="D87" s="22"/>
      <c r="E87" s="22">
        <v>1</v>
      </c>
      <c r="F87" s="97">
        <f>+GETPIVOTDATA("TIPO REQ.",$A$83,"TIPO REQ.","QUEJA","CLASIFICADO A","MISION BOGOTA")/13</f>
        <v>7.6923076923076927E-2</v>
      </c>
    </row>
    <row r="88" spans="1:6" x14ac:dyDescent="0.25">
      <c r="A88" s="24" t="s">
        <v>93</v>
      </c>
      <c r="B88" s="22"/>
      <c r="C88" s="22">
        <v>1</v>
      </c>
      <c r="D88" s="22"/>
      <c r="E88" s="22">
        <v>1</v>
      </c>
      <c r="F88" s="97">
        <f>1/13</f>
        <v>7.6923076923076927E-2</v>
      </c>
    </row>
    <row r="89" spans="1:6" x14ac:dyDescent="0.25">
      <c r="A89" s="24" t="s">
        <v>78</v>
      </c>
      <c r="B89" s="22">
        <v>1</v>
      </c>
      <c r="C89" s="22">
        <v>1</v>
      </c>
      <c r="D89" s="22">
        <v>1</v>
      </c>
      <c r="E89" s="22">
        <v>3</v>
      </c>
      <c r="F89" s="97">
        <f>+GETPIVOTDATA("TIPO REQ.",$A$83,"TIPO REQ.","QUEJA","CLASIFICADO A","SUBFINANCIERA")/13</f>
        <v>0.23076923076923078</v>
      </c>
    </row>
    <row r="90" spans="1:6" x14ac:dyDescent="0.25">
      <c r="A90" s="24" t="s">
        <v>150</v>
      </c>
      <c r="B90" s="22">
        <v>2</v>
      </c>
      <c r="C90" s="22">
        <v>1</v>
      </c>
      <c r="D90" s="22"/>
      <c r="E90" s="22">
        <v>3</v>
      </c>
      <c r="F90" s="97">
        <f>+GETPIVOTDATA("TIPO REQ.",$A$83,"TIPO REQ.","QUEJA","CLASIFICADO A","BAÑOS PUBLICOS")/13</f>
        <v>0.23076923076923078</v>
      </c>
    </row>
    <row r="91" spans="1:6" x14ac:dyDescent="0.25">
      <c r="A91" s="24" t="s">
        <v>29</v>
      </c>
      <c r="B91" s="22">
        <v>1</v>
      </c>
      <c r="C91" s="22">
        <v>2</v>
      </c>
      <c r="D91" s="22">
        <v>1</v>
      </c>
      <c r="E91" s="22">
        <v>4</v>
      </c>
      <c r="F91" s="97">
        <f>+GETPIVOTDATA("TIPO REQ.",$A$83,"TIPO REQ.","QUEJA","CLASIFICADO A","SUBMETODOS")/13</f>
        <v>0.30769230769230771</v>
      </c>
    </row>
    <row r="92" spans="1:6" x14ac:dyDescent="0.25">
      <c r="A92" s="21" t="s">
        <v>427</v>
      </c>
      <c r="B92" s="22">
        <v>4</v>
      </c>
      <c r="C92" s="22">
        <v>7</v>
      </c>
      <c r="D92" s="22">
        <v>2</v>
      </c>
      <c r="E92" s="22">
        <v>13</v>
      </c>
    </row>
    <row r="96" spans="1:6" x14ac:dyDescent="0.25">
      <c r="A96" s="24" t="s">
        <v>93</v>
      </c>
      <c r="B96" s="97">
        <f>+GETPIVOTDATA("TIPO REQ.",$A$83,"TIPO REQ.","QUEJA","CLASIFICADO A","JURIDICA")/13</f>
        <v>7.6923076923076927E-2</v>
      </c>
    </row>
    <row r="97" spans="1:5" x14ac:dyDescent="0.25">
      <c r="A97" s="24" t="s">
        <v>77</v>
      </c>
      <c r="B97" s="97">
        <f>+GETPIVOTDATA("TIPO REQ.",$A$83,"TIPO REQ.","QUEJA","CLASIFICADO A","MISION BOGOTA")/13</f>
        <v>7.6923076923076927E-2</v>
      </c>
    </row>
    <row r="98" spans="1:5" x14ac:dyDescent="0.25">
      <c r="A98" s="24" t="s">
        <v>83</v>
      </c>
      <c r="B98" s="97">
        <f>1/13</f>
        <v>7.6923076923076927E-2</v>
      </c>
    </row>
    <row r="99" spans="1:5" x14ac:dyDescent="0.25">
      <c r="A99" s="24" t="s">
        <v>150</v>
      </c>
      <c r="B99" s="97">
        <f>+GETPIVOTDATA("TIPO REQ.",$A$83,"TIPO REQ.","QUEJA","CLASIFICADO A","SUBFINANCIERA")/13</f>
        <v>0.23076923076923078</v>
      </c>
    </row>
    <row r="100" spans="1:5" x14ac:dyDescent="0.25">
      <c r="A100" s="24" t="s">
        <v>78</v>
      </c>
      <c r="B100" s="97">
        <f>+GETPIVOTDATA("TIPO REQ.",$A$83,"TIPO REQ.","QUEJA","CLASIFICADO A","BAÑOS PUBLICOS")/13</f>
        <v>0.23076923076923078</v>
      </c>
    </row>
    <row r="101" spans="1:5" x14ac:dyDescent="0.25">
      <c r="A101" s="24" t="s">
        <v>29</v>
      </c>
      <c r="B101" s="97">
        <f>+GETPIVOTDATA("TIPO REQ.",$A$83,"TIPO REQ.","QUEJA","CLASIFICADO A","SUBMETODOS")/13</f>
        <v>0.30769230769230771</v>
      </c>
    </row>
    <row r="105" spans="1:5" x14ac:dyDescent="0.25">
      <c r="A105" s="20" t="s">
        <v>428</v>
      </c>
      <c r="B105" s="20" t="s">
        <v>429</v>
      </c>
    </row>
    <row r="106" spans="1:5" x14ac:dyDescent="0.25">
      <c r="A106" s="20" t="s">
        <v>426</v>
      </c>
      <c r="B106" s="23" t="s">
        <v>430</v>
      </c>
      <c r="C106" s="23" t="s">
        <v>431</v>
      </c>
      <c r="D106" s="23" t="s">
        <v>432</v>
      </c>
      <c r="E106" s="23" t="s">
        <v>427</v>
      </c>
    </row>
    <row r="107" spans="1:5" x14ac:dyDescent="0.25">
      <c r="A107" s="21" t="s">
        <v>30</v>
      </c>
      <c r="B107" s="22">
        <v>1</v>
      </c>
      <c r="C107" s="22">
        <v>1</v>
      </c>
      <c r="D107" s="22"/>
      <c r="E107" s="22">
        <v>2</v>
      </c>
    </row>
    <row r="108" spans="1:5" x14ac:dyDescent="0.25">
      <c r="A108" s="21" t="s">
        <v>52</v>
      </c>
      <c r="B108" s="22">
        <v>3</v>
      </c>
      <c r="C108" s="22"/>
      <c r="D108" s="22">
        <v>1</v>
      </c>
      <c r="E108" s="22">
        <v>4</v>
      </c>
    </row>
    <row r="109" spans="1:5" x14ac:dyDescent="0.25">
      <c r="A109" s="21" t="s">
        <v>77</v>
      </c>
      <c r="B109" s="22">
        <v>2</v>
      </c>
      <c r="C109" s="22">
        <v>2</v>
      </c>
      <c r="D109" s="22">
        <v>1</v>
      </c>
      <c r="E109" s="22">
        <v>5</v>
      </c>
    </row>
    <row r="110" spans="1:5" x14ac:dyDescent="0.25">
      <c r="A110" s="21" t="s">
        <v>32</v>
      </c>
      <c r="B110" s="22">
        <v>2</v>
      </c>
      <c r="C110" s="22">
        <v>1</v>
      </c>
      <c r="D110" s="22">
        <v>2</v>
      </c>
      <c r="E110" s="22">
        <v>5</v>
      </c>
    </row>
    <row r="111" spans="1:5" x14ac:dyDescent="0.25">
      <c r="A111" s="21" t="s">
        <v>78</v>
      </c>
      <c r="B111" s="22">
        <v>2</v>
      </c>
      <c r="C111" s="22">
        <v>2</v>
      </c>
      <c r="D111" s="22">
        <v>2</v>
      </c>
      <c r="E111" s="22">
        <v>6</v>
      </c>
    </row>
    <row r="112" spans="1:5" x14ac:dyDescent="0.25">
      <c r="A112" s="21" t="s">
        <v>93</v>
      </c>
      <c r="B112" s="22">
        <v>2</v>
      </c>
      <c r="C112" s="22">
        <v>2</v>
      </c>
      <c r="D112" s="22">
        <v>3</v>
      </c>
      <c r="E112" s="22">
        <v>7</v>
      </c>
    </row>
    <row r="113" spans="1:5" x14ac:dyDescent="0.25">
      <c r="A113" s="21" t="s">
        <v>150</v>
      </c>
      <c r="B113" s="22">
        <v>2</v>
      </c>
      <c r="C113" s="22">
        <v>8</v>
      </c>
      <c r="D113" s="22"/>
      <c r="E113" s="22">
        <v>10</v>
      </c>
    </row>
    <row r="114" spans="1:5" x14ac:dyDescent="0.25">
      <c r="A114" s="21" t="s">
        <v>83</v>
      </c>
      <c r="B114" s="22">
        <v>5</v>
      </c>
      <c r="C114" s="22">
        <v>4</v>
      </c>
      <c r="D114" s="22">
        <v>5</v>
      </c>
      <c r="E114" s="22">
        <v>14</v>
      </c>
    </row>
    <row r="115" spans="1:5" x14ac:dyDescent="0.25">
      <c r="A115" s="21" t="s">
        <v>29</v>
      </c>
      <c r="B115" s="22">
        <v>15</v>
      </c>
      <c r="C115" s="22">
        <v>16</v>
      </c>
      <c r="D115" s="22">
        <v>20</v>
      </c>
      <c r="E115" s="22">
        <v>51</v>
      </c>
    </row>
    <row r="116" spans="1:5" x14ac:dyDescent="0.25">
      <c r="A116" s="21" t="s">
        <v>427</v>
      </c>
      <c r="B116" s="22">
        <v>34</v>
      </c>
      <c r="C116" s="22">
        <v>36</v>
      </c>
      <c r="D116" s="22">
        <v>34</v>
      </c>
      <c r="E116" s="22">
        <v>104</v>
      </c>
    </row>
    <row r="121" spans="1:5" x14ac:dyDescent="0.25">
      <c r="A121" s="20" t="s">
        <v>448</v>
      </c>
      <c r="B121" s="20" t="s">
        <v>429</v>
      </c>
    </row>
    <row r="122" spans="1:5" x14ac:dyDescent="0.25">
      <c r="A122" s="20" t="s">
        <v>426</v>
      </c>
      <c r="B122" s="23" t="s">
        <v>430</v>
      </c>
      <c r="C122" s="23" t="s">
        <v>431</v>
      </c>
      <c r="D122" s="23" t="s">
        <v>432</v>
      </c>
      <c r="E122" s="23" t="s">
        <v>427</v>
      </c>
    </row>
    <row r="123" spans="1:5" x14ac:dyDescent="0.25">
      <c r="A123" s="21" t="s">
        <v>433</v>
      </c>
      <c r="B123" s="22">
        <v>32</v>
      </c>
      <c r="C123" s="22">
        <v>32</v>
      </c>
      <c r="D123" s="22">
        <v>32</v>
      </c>
      <c r="E123" s="22">
        <v>96</v>
      </c>
    </row>
    <row r="124" spans="1:5" x14ac:dyDescent="0.25">
      <c r="A124" s="21" t="s">
        <v>434</v>
      </c>
      <c r="B124" s="22"/>
      <c r="C124" s="22"/>
      <c r="D124" s="22">
        <v>2</v>
      </c>
      <c r="E124" s="22">
        <v>2</v>
      </c>
    </row>
    <row r="125" spans="1:5" x14ac:dyDescent="0.25">
      <c r="A125" s="21" t="s">
        <v>435</v>
      </c>
      <c r="B125" s="22">
        <v>2</v>
      </c>
      <c r="C125" s="22">
        <v>4</v>
      </c>
      <c r="D125" s="22"/>
      <c r="E125" s="22">
        <v>6</v>
      </c>
    </row>
    <row r="126" spans="1:5" x14ac:dyDescent="0.25">
      <c r="A126" s="21" t="s">
        <v>427</v>
      </c>
      <c r="B126" s="22">
        <v>34</v>
      </c>
      <c r="C126" s="22">
        <v>36</v>
      </c>
      <c r="D126" s="22">
        <v>34</v>
      </c>
      <c r="E126" s="22">
        <v>104</v>
      </c>
    </row>
  </sheetData>
  <pageMargins left="0.7" right="0.7" top="0.75" bottom="0.75" header="0.3" footer="0.3"/>
  <pageSetup orientation="portrait" r:id="rId7"/>
  <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7"/>
  <sheetViews>
    <sheetView topLeftCell="A224" workbookViewId="0">
      <selection activeCell="A236" sqref="A236:F243"/>
    </sheetView>
  </sheetViews>
  <sheetFormatPr baseColWidth="10" defaultRowHeight="15" x14ac:dyDescent="0.25"/>
  <cols>
    <col min="1" max="1" width="19.7109375" customWidth="1"/>
    <col min="2" max="2" width="6" customWidth="1"/>
    <col min="3" max="3" width="4" customWidth="1"/>
    <col min="4" max="4" width="4.42578125" customWidth="1"/>
    <col min="5" max="5" width="12.5703125" customWidth="1"/>
    <col min="6" max="6" width="15.140625" customWidth="1"/>
    <col min="7" max="12" width="9.85546875" customWidth="1"/>
    <col min="13" max="13" width="9" customWidth="1"/>
    <col min="14" max="26" width="9.42578125" customWidth="1"/>
    <col min="27" max="37" width="9.85546875" customWidth="1"/>
    <col min="38" max="38" width="12.5703125" bestFit="1" customWidth="1"/>
  </cols>
  <sheetData>
    <row r="1" spans="1:6" ht="24" customHeight="1" x14ac:dyDescent="0.25">
      <c r="A1" s="176" t="s">
        <v>436</v>
      </c>
      <c r="B1" s="177"/>
      <c r="C1" s="177"/>
      <c r="D1" s="177"/>
      <c r="E1" s="177"/>
      <c r="F1" s="178"/>
    </row>
    <row r="2" spans="1:6" ht="15.75" thickBot="1" x14ac:dyDescent="0.3">
      <c r="A2" s="31"/>
      <c r="B2" s="32" t="s">
        <v>437</v>
      </c>
      <c r="C2" s="32" t="s">
        <v>438</v>
      </c>
      <c r="D2" s="32" t="s">
        <v>439</v>
      </c>
      <c r="E2" s="32" t="s">
        <v>427</v>
      </c>
      <c r="F2" s="33" t="s">
        <v>440</v>
      </c>
    </row>
    <row r="3" spans="1:6" hidden="1" x14ac:dyDescent="0.25">
      <c r="A3" s="40" t="s">
        <v>428</v>
      </c>
      <c r="B3" s="41" t="s">
        <v>429</v>
      </c>
      <c r="C3" s="42"/>
      <c r="D3" s="42"/>
      <c r="E3" s="43"/>
      <c r="F3" s="28"/>
    </row>
    <row r="4" spans="1:6" ht="15.75" hidden="1" thickBot="1" x14ac:dyDescent="0.3">
      <c r="A4" s="36" t="s">
        <v>426</v>
      </c>
      <c r="B4" s="47" t="s">
        <v>430</v>
      </c>
      <c r="C4" s="48" t="s">
        <v>431</v>
      </c>
      <c r="D4" s="49" t="s">
        <v>432</v>
      </c>
      <c r="E4" s="50" t="s">
        <v>427</v>
      </c>
      <c r="F4" s="28"/>
    </row>
    <row r="5" spans="1:6" x14ac:dyDescent="0.25">
      <c r="A5" s="70" t="s">
        <v>109</v>
      </c>
      <c r="B5" s="67">
        <v>1</v>
      </c>
      <c r="C5" s="68"/>
      <c r="D5" s="68"/>
      <c r="E5" s="94">
        <v>1</v>
      </c>
      <c r="F5" s="30">
        <f>+GETPIVOTDATA("TIPO REQ.",$A$3,"TIPO REQ.","FELICITACIÓN")/104</f>
        <v>9.6153846153846159E-3</v>
      </c>
    </row>
    <row r="6" spans="1:6" x14ac:dyDescent="0.25">
      <c r="A6" s="71" t="s">
        <v>91</v>
      </c>
      <c r="B6" s="69">
        <v>1</v>
      </c>
      <c r="C6" s="29">
        <v>1</v>
      </c>
      <c r="D6" s="29"/>
      <c r="E6" s="95">
        <v>2</v>
      </c>
      <c r="F6" s="30">
        <f>+GETPIVOTDATA("TIPO REQ.",$A$3,"TIPO REQ.","SOLICITUD DE COPIA")/104</f>
        <v>1.9230769230769232E-2</v>
      </c>
    </row>
    <row r="7" spans="1:6" x14ac:dyDescent="0.25">
      <c r="A7" s="71" t="s">
        <v>81</v>
      </c>
      <c r="B7" s="69">
        <v>3</v>
      </c>
      <c r="C7" s="29">
        <v>3</v>
      </c>
      <c r="D7" s="29">
        <v>2</v>
      </c>
      <c r="E7" s="95">
        <v>8</v>
      </c>
      <c r="F7" s="30">
        <f>+GETPIVOTDATA("TIPO REQ.",$A$3,"TIPO REQ.","SOLICITUD DE INFORMACIÓN")/104</f>
        <v>7.6923076923076927E-2</v>
      </c>
    </row>
    <row r="8" spans="1:6" x14ac:dyDescent="0.25">
      <c r="A8" s="71" t="s">
        <v>107</v>
      </c>
      <c r="B8" s="69">
        <v>3</v>
      </c>
      <c r="C8" s="29">
        <v>5</v>
      </c>
      <c r="D8" s="29">
        <v>4</v>
      </c>
      <c r="E8" s="95">
        <v>12</v>
      </c>
      <c r="F8" s="30">
        <f>+GETPIVOTDATA("TIPO REQ.",$A$3,"TIPO REQ.","RECLAMO")/104</f>
        <v>0.11538461538461539</v>
      </c>
    </row>
    <row r="9" spans="1:6" x14ac:dyDescent="0.25">
      <c r="A9" s="71" t="s">
        <v>136</v>
      </c>
      <c r="B9" s="69">
        <v>5</v>
      </c>
      <c r="C9" s="29">
        <v>5</v>
      </c>
      <c r="D9" s="29">
        <v>2</v>
      </c>
      <c r="E9" s="95">
        <v>12</v>
      </c>
      <c r="F9" s="30">
        <f>+GETPIVOTDATA("TIPO REQ.",$A$3,"TIPO REQ.","PETICIÓN INTERÉS GENERAL")/104</f>
        <v>0.11538461538461539</v>
      </c>
    </row>
    <row r="10" spans="1:6" x14ac:dyDescent="0.25">
      <c r="A10" s="71" t="s">
        <v>72</v>
      </c>
      <c r="B10" s="69">
        <v>4</v>
      </c>
      <c r="C10" s="29">
        <v>7</v>
      </c>
      <c r="D10" s="29">
        <v>2</v>
      </c>
      <c r="E10" s="95">
        <v>13</v>
      </c>
      <c r="F10" s="30">
        <f>+GETPIVOTDATA("TIPO REQ.",$A$3,"TIPO REQ.","QUEJA")/104</f>
        <v>0.125</v>
      </c>
    </row>
    <row r="11" spans="1:6" x14ac:dyDescent="0.25">
      <c r="A11" s="71" t="s">
        <v>108</v>
      </c>
      <c r="B11" s="69">
        <v>6</v>
      </c>
      <c r="C11" s="29">
        <v>3</v>
      </c>
      <c r="D11" s="29">
        <v>10</v>
      </c>
      <c r="E11" s="95">
        <v>19</v>
      </c>
      <c r="F11" s="30">
        <f>+GETPIVOTDATA("TIPO REQ.",$A$3,"TIPO REQ.","SUGERENCIA")/104</f>
        <v>0.18269230769230768</v>
      </c>
    </row>
    <row r="12" spans="1:6" ht="15.75" thickBot="1" x14ac:dyDescent="0.3">
      <c r="A12" s="72" t="s">
        <v>135</v>
      </c>
      <c r="B12" s="69">
        <v>11</v>
      </c>
      <c r="C12" s="29">
        <v>12</v>
      </c>
      <c r="D12" s="29">
        <v>14</v>
      </c>
      <c r="E12" s="95">
        <v>37</v>
      </c>
      <c r="F12" s="30">
        <f>+GETPIVOTDATA("TIPO REQ.",$A$3,"TIPO REQ.","PETICIÓN INTERÉS PARTICULAR")/104</f>
        <v>0.35576923076923078</v>
      </c>
    </row>
    <row r="13" spans="1:6" ht="15.75" thickBot="1" x14ac:dyDescent="0.3">
      <c r="A13" s="46" t="s">
        <v>427</v>
      </c>
      <c r="B13" s="73">
        <v>34</v>
      </c>
      <c r="C13" s="34">
        <v>36</v>
      </c>
      <c r="D13" s="34">
        <v>34</v>
      </c>
      <c r="E13" s="96">
        <v>104</v>
      </c>
      <c r="F13" s="35">
        <f>SUM(F5:F12)</f>
        <v>1</v>
      </c>
    </row>
    <row r="15" spans="1:6" ht="15.75" thickBot="1" x14ac:dyDescent="0.3"/>
    <row r="16" spans="1:6" x14ac:dyDescent="0.25">
      <c r="A16" s="70" t="s">
        <v>109</v>
      </c>
      <c r="B16" s="30">
        <f>+GETPIVOTDATA("TIPO REQ.",$A$3,"TIPO REQ.","FELICITACIÓN")/104</f>
        <v>9.6153846153846159E-3</v>
      </c>
    </row>
    <row r="17" spans="1:6" x14ac:dyDescent="0.25">
      <c r="A17" s="71" t="s">
        <v>91</v>
      </c>
      <c r="B17" s="30">
        <f>+GETPIVOTDATA("TIPO REQ.",$A$3,"TIPO REQ.","SOLICITUD DE COPIA")/104</f>
        <v>1.9230769230769232E-2</v>
      </c>
    </row>
    <row r="18" spans="1:6" x14ac:dyDescent="0.25">
      <c r="A18" s="71" t="s">
        <v>81</v>
      </c>
      <c r="B18" s="30">
        <f>+GETPIVOTDATA("TIPO REQ.",$A$3,"TIPO REQ.","SOLICITUD DE INFORMACIÓN")/104</f>
        <v>7.6923076923076927E-2</v>
      </c>
    </row>
    <row r="19" spans="1:6" x14ac:dyDescent="0.25">
      <c r="A19" s="71" t="s">
        <v>107</v>
      </c>
      <c r="B19" s="30">
        <f>+GETPIVOTDATA("TIPO REQ.",$A$3,"TIPO REQ.","RECLAMO")/104</f>
        <v>0.11538461538461539</v>
      </c>
    </row>
    <row r="20" spans="1:6" x14ac:dyDescent="0.25">
      <c r="A20" s="71" t="s">
        <v>136</v>
      </c>
      <c r="B20" s="30">
        <f>+GETPIVOTDATA("TIPO REQ.",$A$3,"TIPO REQ.","PETICIÓN INTERÉS GENERAL")/104</f>
        <v>0.11538461538461539</v>
      </c>
    </row>
    <row r="21" spans="1:6" x14ac:dyDescent="0.25">
      <c r="A21" s="71" t="s">
        <v>72</v>
      </c>
      <c r="B21" s="30">
        <f>+GETPIVOTDATA("TIPO REQ.",$A$3,"TIPO REQ.","QUEJA")/104</f>
        <v>0.125</v>
      </c>
    </row>
    <row r="22" spans="1:6" x14ac:dyDescent="0.25">
      <c r="A22" s="71" t="s">
        <v>108</v>
      </c>
      <c r="B22" s="30">
        <f>+GETPIVOTDATA("TIPO REQ.",$A$3,"TIPO REQ.","SUGERENCIA")/104</f>
        <v>0.18269230769230768</v>
      </c>
    </row>
    <row r="23" spans="1:6" ht="15.75" thickBot="1" x14ac:dyDescent="0.3">
      <c r="A23" s="72" t="s">
        <v>135</v>
      </c>
      <c r="B23" s="30">
        <f>+GETPIVOTDATA("TIPO REQ.",$A$3,"TIPO REQ.","PETICIÓN INTERÉS PARTICULAR")/104</f>
        <v>0.35576923076923078</v>
      </c>
    </row>
    <row r="24" spans="1:6" ht="15.75" thickBot="1" x14ac:dyDescent="0.3"/>
    <row r="25" spans="1:6" x14ac:dyDescent="0.25">
      <c r="A25" s="173" t="s">
        <v>436</v>
      </c>
      <c r="B25" s="174"/>
      <c r="C25" s="174"/>
      <c r="D25" s="174"/>
      <c r="E25" s="174"/>
      <c r="F25" s="175"/>
    </row>
    <row r="26" spans="1:6" ht="15.75" thickBot="1" x14ac:dyDescent="0.3">
      <c r="A26" s="31"/>
      <c r="B26" s="32" t="s">
        <v>441</v>
      </c>
      <c r="C26" s="32" t="s">
        <v>442</v>
      </c>
      <c r="D26" s="32" t="s">
        <v>443</v>
      </c>
      <c r="E26" s="32" t="s">
        <v>427</v>
      </c>
      <c r="F26" s="33" t="s">
        <v>440</v>
      </c>
    </row>
    <row r="27" spans="1:6" hidden="1" x14ac:dyDescent="0.25">
      <c r="A27" s="40" t="s">
        <v>444</v>
      </c>
      <c r="B27" s="41" t="s">
        <v>429</v>
      </c>
      <c r="C27" s="42"/>
      <c r="D27" s="42"/>
      <c r="E27" s="43"/>
      <c r="F27" s="37"/>
    </row>
    <row r="28" spans="1:6" ht="15.75" hidden="1" thickBot="1" x14ac:dyDescent="0.3">
      <c r="A28" s="36" t="s">
        <v>426</v>
      </c>
      <c r="B28" s="47" t="s">
        <v>430</v>
      </c>
      <c r="C28" s="48" t="s">
        <v>431</v>
      </c>
      <c r="D28" s="49" t="s">
        <v>432</v>
      </c>
      <c r="E28" s="50" t="s">
        <v>427</v>
      </c>
      <c r="F28" s="37"/>
    </row>
    <row r="29" spans="1:6" x14ac:dyDescent="0.25">
      <c r="A29" s="58" t="s">
        <v>30</v>
      </c>
      <c r="B29" s="59">
        <v>1</v>
      </c>
      <c r="C29" s="60">
        <v>1</v>
      </c>
      <c r="D29" s="60"/>
      <c r="E29" s="61">
        <v>2</v>
      </c>
      <c r="F29" s="52">
        <f>+GETPIVOTDATA("CLASIFICADO A",$A$27,"CLASIFICADO A","DIRECCION")/104</f>
        <v>1.9230769230769232E-2</v>
      </c>
    </row>
    <row r="30" spans="1:6" x14ac:dyDescent="0.25">
      <c r="A30" s="62" t="s">
        <v>52</v>
      </c>
      <c r="B30" s="63">
        <v>3</v>
      </c>
      <c r="C30" s="64"/>
      <c r="D30" s="64">
        <v>1</v>
      </c>
      <c r="E30" s="65">
        <v>4</v>
      </c>
      <c r="F30" s="52">
        <f>+GETPIVOTDATA("CLASIFICADO A",$A$27,"CLASIFICADO A","PLANEACION")/104</f>
        <v>3.8461538461538464E-2</v>
      </c>
    </row>
    <row r="31" spans="1:6" x14ac:dyDescent="0.25">
      <c r="A31" s="62" t="s">
        <v>77</v>
      </c>
      <c r="B31" s="63">
        <v>2</v>
      </c>
      <c r="C31" s="64">
        <v>2</v>
      </c>
      <c r="D31" s="64">
        <v>1</v>
      </c>
      <c r="E31" s="65">
        <v>5</v>
      </c>
      <c r="F31" s="52">
        <f>+GETPIVOTDATA("CLASIFICADO A",$A$27,"CLASIFICADO A","JURIDICA")/104</f>
        <v>4.807692307692308E-2</v>
      </c>
    </row>
    <row r="32" spans="1:6" x14ac:dyDescent="0.25">
      <c r="A32" s="62" t="s">
        <v>32</v>
      </c>
      <c r="B32" s="63">
        <v>2</v>
      </c>
      <c r="C32" s="64">
        <v>1</v>
      </c>
      <c r="D32" s="64">
        <v>2</v>
      </c>
      <c r="E32" s="65">
        <v>5</v>
      </c>
      <c r="F32" s="52">
        <f>+GETPIVOTDATA("CLASIFICADO A",$A$27,"CLASIFICADO A","COMEDORES")/104</f>
        <v>4.807692307692308E-2</v>
      </c>
    </row>
    <row r="33" spans="1:6" x14ac:dyDescent="0.25">
      <c r="A33" s="62" t="s">
        <v>78</v>
      </c>
      <c r="B33" s="63">
        <v>2</v>
      </c>
      <c r="C33" s="64">
        <v>2</v>
      </c>
      <c r="D33" s="64">
        <v>2</v>
      </c>
      <c r="E33" s="65">
        <v>6</v>
      </c>
      <c r="F33" s="52">
        <f>+GETPIVOTDATA("CLASIFICADO A",$A$27,"CLASIFICADO A","SUBFINANCIERA")/104</f>
        <v>5.7692307692307696E-2</v>
      </c>
    </row>
    <row r="34" spans="1:6" x14ac:dyDescent="0.25">
      <c r="A34" s="62" t="s">
        <v>93</v>
      </c>
      <c r="B34" s="63">
        <v>2</v>
      </c>
      <c r="C34" s="64">
        <v>2</v>
      </c>
      <c r="D34" s="64">
        <v>3</v>
      </c>
      <c r="E34" s="65">
        <v>7</v>
      </c>
      <c r="F34" s="52">
        <f>+GETPIVOTDATA("CLASIFICADO A",$A$27,"CLASIFICADO A","DESARROLLO HUMANO")/104</f>
        <v>6.7307692307692304E-2</v>
      </c>
    </row>
    <row r="35" spans="1:6" x14ac:dyDescent="0.25">
      <c r="A35" s="62" t="s">
        <v>150</v>
      </c>
      <c r="B35" s="63">
        <v>2</v>
      </c>
      <c r="C35" s="64">
        <v>8</v>
      </c>
      <c r="D35" s="64"/>
      <c r="E35" s="65">
        <v>10</v>
      </c>
      <c r="F35" s="52">
        <f>+GETPIVOTDATA("CLASIFICADO A",$A$27,"CLASIFICADO A","BAÑOS PUBLICOS")/104</f>
        <v>9.6153846153846159E-2</v>
      </c>
    </row>
    <row r="36" spans="1:6" x14ac:dyDescent="0.25">
      <c r="A36" s="62" t="s">
        <v>83</v>
      </c>
      <c r="B36" s="63">
        <v>5</v>
      </c>
      <c r="C36" s="64">
        <v>4</v>
      </c>
      <c r="D36" s="64">
        <v>5</v>
      </c>
      <c r="E36" s="65">
        <v>14</v>
      </c>
      <c r="F36" s="53">
        <f>+GETPIVOTDATA("CLASIFICADO A",$A$27,"CLASIFICADO A","MISION BOGOTA")/104</f>
        <v>0.13461538461538461</v>
      </c>
    </row>
    <row r="37" spans="1:6" ht="15.75" thickBot="1" x14ac:dyDescent="0.3">
      <c r="A37" s="66" t="s">
        <v>29</v>
      </c>
      <c r="B37" s="63">
        <v>15</v>
      </c>
      <c r="C37" s="64">
        <v>16</v>
      </c>
      <c r="D37" s="64">
        <v>20</v>
      </c>
      <c r="E37" s="65">
        <v>51</v>
      </c>
      <c r="F37" s="53">
        <f>+GETPIVOTDATA("CLASIFICADO A",$A$27,"CLASIFICADO A","SUBMETODOS")/104</f>
        <v>0.49038461538461536</v>
      </c>
    </row>
    <row r="38" spans="1:6" ht="15.75" thickBot="1" x14ac:dyDescent="0.3">
      <c r="A38" s="46" t="s">
        <v>427</v>
      </c>
      <c r="B38" s="54">
        <v>34</v>
      </c>
      <c r="C38" s="55">
        <v>36</v>
      </c>
      <c r="D38" s="55">
        <v>34</v>
      </c>
      <c r="E38" s="56">
        <v>104</v>
      </c>
      <c r="F38" s="57">
        <f>SUM(F29:F37)</f>
        <v>1</v>
      </c>
    </row>
    <row r="39" spans="1:6" x14ac:dyDescent="0.25">
      <c r="F39" s="53"/>
    </row>
    <row r="40" spans="1:6" x14ac:dyDescent="0.25">
      <c r="F40" s="51"/>
    </row>
    <row r="41" spans="1:6" x14ac:dyDescent="0.25">
      <c r="F41" s="53"/>
    </row>
    <row r="42" spans="1:6" ht="15.75" thickBot="1" x14ac:dyDescent="0.3">
      <c r="F42" s="53"/>
    </row>
    <row r="43" spans="1:6" ht="15.75" thickBot="1" x14ac:dyDescent="0.3">
      <c r="F43" s="53"/>
    </row>
    <row r="44" spans="1:6" x14ac:dyDescent="0.25">
      <c r="A44" s="58" t="s">
        <v>30</v>
      </c>
      <c r="B44" s="52">
        <f>+GETPIVOTDATA("CLASIFICADO A",$A$27,"CLASIFICADO A","DIRECCION")/104</f>
        <v>1.9230769230769232E-2</v>
      </c>
      <c r="F44" s="51"/>
    </row>
    <row r="45" spans="1:6" x14ac:dyDescent="0.25">
      <c r="A45" s="62" t="s">
        <v>52</v>
      </c>
      <c r="B45" s="52">
        <f>+GETPIVOTDATA("CLASIFICADO A",$A$27,"CLASIFICADO A","PLANEACION")/104</f>
        <v>3.8461538461538464E-2</v>
      </c>
      <c r="F45" s="53"/>
    </row>
    <row r="46" spans="1:6" x14ac:dyDescent="0.25">
      <c r="A46" s="62" t="s">
        <v>77</v>
      </c>
      <c r="B46" s="52">
        <f>+GETPIVOTDATA("CLASIFICADO A",$A$27,"CLASIFICADO A","JURIDICA")/104</f>
        <v>4.807692307692308E-2</v>
      </c>
      <c r="F46" s="53"/>
    </row>
    <row r="47" spans="1:6" x14ac:dyDescent="0.25">
      <c r="A47" s="62" t="s">
        <v>32</v>
      </c>
      <c r="B47" s="52">
        <f>+GETPIVOTDATA("CLASIFICADO A",$A$27,"CLASIFICADO A","COMEDORES")/104</f>
        <v>4.807692307692308E-2</v>
      </c>
      <c r="F47" s="53"/>
    </row>
    <row r="48" spans="1:6" x14ac:dyDescent="0.25">
      <c r="A48" s="62" t="s">
        <v>78</v>
      </c>
      <c r="B48" s="52">
        <f>+GETPIVOTDATA("CLASIFICADO A",$A$27,"CLASIFICADO A","SUBFINANCIERA")/104</f>
        <v>5.7692307692307696E-2</v>
      </c>
      <c r="F48" s="51"/>
    </row>
    <row r="49" spans="1:6" x14ac:dyDescent="0.25">
      <c r="A49" s="62" t="s">
        <v>93</v>
      </c>
      <c r="B49" s="52">
        <f>+GETPIVOTDATA("CLASIFICADO A",$A$27,"CLASIFICADO A","DESARROLLO HUMANO")/104</f>
        <v>6.7307692307692304E-2</v>
      </c>
      <c r="F49" s="53"/>
    </row>
    <row r="50" spans="1:6" x14ac:dyDescent="0.25">
      <c r="A50" s="62" t="s">
        <v>150</v>
      </c>
      <c r="B50" s="52">
        <f>+GETPIVOTDATA("CLASIFICADO A",$A$27,"CLASIFICADO A","BAÑOS PUBLICOS")/104</f>
        <v>9.6153846153846159E-2</v>
      </c>
      <c r="F50" s="53"/>
    </row>
    <row r="51" spans="1:6" x14ac:dyDescent="0.25">
      <c r="A51" s="62" t="s">
        <v>83</v>
      </c>
      <c r="B51" s="53">
        <f>+GETPIVOTDATA("CLASIFICADO A",$A$27,"CLASIFICADO A","MISION BOGOTA")/104</f>
        <v>0.13461538461538461</v>
      </c>
      <c r="F51" s="51"/>
    </row>
    <row r="52" spans="1:6" ht="15.75" thickBot="1" x14ac:dyDescent="0.3">
      <c r="A52" s="66" t="s">
        <v>29</v>
      </c>
      <c r="B52" s="53">
        <f>+GETPIVOTDATA("CLASIFICADO A",$A$27,"CLASIFICADO A","SUBMETODOS")/104</f>
        <v>0.49038461538461536</v>
      </c>
      <c r="F52" s="53"/>
    </row>
    <row r="53" spans="1:6" x14ac:dyDescent="0.25">
      <c r="F53" s="53"/>
    </row>
    <row r="54" spans="1:6" x14ac:dyDescent="0.25">
      <c r="F54" s="53"/>
    </row>
    <row r="55" spans="1:6" x14ac:dyDescent="0.25">
      <c r="F55" s="53"/>
    </row>
    <row r="56" spans="1:6" ht="15.75" thickBot="1" x14ac:dyDescent="0.3">
      <c r="F56" s="53"/>
    </row>
    <row r="57" spans="1:6" ht="15.75" thickBot="1" x14ac:dyDescent="0.3">
      <c r="F57" s="51"/>
    </row>
    <row r="58" spans="1:6" ht="15.75" thickBot="1" x14ac:dyDescent="0.3">
      <c r="F58" s="53"/>
    </row>
    <row r="59" spans="1:6" x14ac:dyDescent="0.25">
      <c r="A59" s="173" t="s">
        <v>436</v>
      </c>
      <c r="B59" s="174"/>
      <c r="C59" s="174"/>
      <c r="D59" s="174"/>
      <c r="E59" s="174"/>
      <c r="F59" s="175"/>
    </row>
    <row r="60" spans="1:6" ht="15.75" thickBot="1" x14ac:dyDescent="0.3">
      <c r="A60" s="31"/>
      <c r="B60" s="32" t="s">
        <v>441</v>
      </c>
      <c r="C60" s="32" t="s">
        <v>442</v>
      </c>
      <c r="D60" s="32" t="s">
        <v>443</v>
      </c>
      <c r="E60" s="32" t="s">
        <v>427</v>
      </c>
      <c r="F60" s="33" t="s">
        <v>440</v>
      </c>
    </row>
    <row r="61" spans="1:6" ht="15.75" thickBot="1" x14ac:dyDescent="0.3">
      <c r="A61" s="40" t="s">
        <v>444</v>
      </c>
      <c r="B61" s="41" t="s">
        <v>429</v>
      </c>
      <c r="C61" s="42"/>
      <c r="D61" s="42"/>
      <c r="E61" s="43"/>
      <c r="F61" s="37"/>
    </row>
    <row r="62" spans="1:6" ht="15.75" thickBot="1" x14ac:dyDescent="0.3">
      <c r="A62" s="36" t="s">
        <v>426</v>
      </c>
      <c r="B62" s="47" t="s">
        <v>430</v>
      </c>
      <c r="C62" s="48" t="s">
        <v>431</v>
      </c>
      <c r="D62" s="49" t="s">
        <v>432</v>
      </c>
      <c r="E62" s="50" t="s">
        <v>427</v>
      </c>
      <c r="F62" s="37"/>
    </row>
    <row r="63" spans="1:6" x14ac:dyDescent="0.25">
      <c r="A63" s="58" t="s">
        <v>30</v>
      </c>
      <c r="B63" s="59">
        <v>1</v>
      </c>
      <c r="C63" s="60">
        <v>1</v>
      </c>
      <c r="D63" s="60"/>
      <c r="E63" s="61">
        <v>2</v>
      </c>
      <c r="F63" s="52">
        <f>+GETPIVOTDATA("CLASIFICADO A",$A$27,"CLASIFICADO A","DIRECCION")/104</f>
        <v>1.9230769230769232E-2</v>
      </c>
    </row>
    <row r="64" spans="1:6" x14ac:dyDescent="0.25">
      <c r="A64" s="62" t="s">
        <v>52</v>
      </c>
      <c r="B64" s="63">
        <v>3</v>
      </c>
      <c r="C64" s="64"/>
      <c r="D64" s="64">
        <v>1</v>
      </c>
      <c r="E64" s="65">
        <v>4</v>
      </c>
      <c r="F64" s="52">
        <f>+GETPIVOTDATA("CLASIFICADO A",$A$27,"CLASIFICADO A","PLANEACION")/104</f>
        <v>3.8461538461538464E-2</v>
      </c>
    </row>
    <row r="65" spans="1:6" x14ac:dyDescent="0.25">
      <c r="A65" s="62" t="s">
        <v>77</v>
      </c>
      <c r="B65" s="63">
        <v>2</v>
      </c>
      <c r="C65" s="64">
        <v>2</v>
      </c>
      <c r="D65" s="64">
        <v>1</v>
      </c>
      <c r="E65" s="65">
        <v>5</v>
      </c>
      <c r="F65" s="52">
        <f>+GETPIVOTDATA("CLASIFICADO A",$A$27,"CLASIFICADO A","JURIDICA")/104</f>
        <v>4.807692307692308E-2</v>
      </c>
    </row>
    <row r="66" spans="1:6" x14ac:dyDescent="0.25">
      <c r="A66" s="62" t="s">
        <v>32</v>
      </c>
      <c r="B66" s="63">
        <v>2</v>
      </c>
      <c r="C66" s="64">
        <v>1</v>
      </c>
      <c r="D66" s="64">
        <v>2</v>
      </c>
      <c r="E66" s="65">
        <v>5</v>
      </c>
      <c r="F66" s="52">
        <f>+GETPIVOTDATA("CLASIFICADO A",$A$27,"CLASIFICADO A","COMEDORES")/104</f>
        <v>4.807692307692308E-2</v>
      </c>
    </row>
    <row r="67" spans="1:6" x14ac:dyDescent="0.25">
      <c r="A67" s="62" t="s">
        <v>78</v>
      </c>
      <c r="B67" s="63">
        <v>2</v>
      </c>
      <c r="C67" s="64">
        <v>2</v>
      </c>
      <c r="D67" s="64">
        <v>2</v>
      </c>
      <c r="E67" s="65">
        <v>6</v>
      </c>
      <c r="F67" s="52">
        <f>+GETPIVOTDATA("CLASIFICADO A",$A$27,"CLASIFICADO A","SUBFINANCIERA")/104</f>
        <v>5.7692307692307696E-2</v>
      </c>
    </row>
    <row r="68" spans="1:6" x14ac:dyDescent="0.25">
      <c r="A68" s="62" t="s">
        <v>93</v>
      </c>
      <c r="B68" s="63">
        <v>2</v>
      </c>
      <c r="C68" s="64">
        <v>2</v>
      </c>
      <c r="D68" s="64">
        <v>3</v>
      </c>
      <c r="E68" s="65">
        <v>7</v>
      </c>
      <c r="F68" s="52">
        <f>+GETPIVOTDATA("CLASIFICADO A",$A$27,"CLASIFICADO A","DESARROLLO HUMANO")/104</f>
        <v>6.7307692307692304E-2</v>
      </c>
    </row>
    <row r="69" spans="1:6" x14ac:dyDescent="0.25">
      <c r="A69" s="62" t="s">
        <v>150</v>
      </c>
      <c r="B69" s="63">
        <v>2</v>
      </c>
      <c r="C69" s="64">
        <v>8</v>
      </c>
      <c r="D69" s="64"/>
      <c r="E69" s="65">
        <v>10</v>
      </c>
      <c r="F69" s="52">
        <f>+GETPIVOTDATA("CLASIFICADO A",$A$27,"CLASIFICADO A","BAÑOS PUBLICOS")/104</f>
        <v>9.6153846153846159E-2</v>
      </c>
    </row>
    <row r="70" spans="1:6" x14ac:dyDescent="0.25">
      <c r="A70" s="62" t="s">
        <v>83</v>
      </c>
      <c r="B70" s="63">
        <v>5</v>
      </c>
      <c r="C70" s="64">
        <v>4</v>
      </c>
      <c r="D70" s="64">
        <v>5</v>
      </c>
      <c r="E70" s="65">
        <v>14</v>
      </c>
      <c r="F70" s="53">
        <f>+GETPIVOTDATA("CLASIFICADO A",$A$61,"CLASIFICADO A","MISION BOGOTA")/104</f>
        <v>0.13461538461538461</v>
      </c>
    </row>
    <row r="71" spans="1:6" ht="15.75" thickBot="1" x14ac:dyDescent="0.3">
      <c r="A71" s="66" t="s">
        <v>29</v>
      </c>
      <c r="B71" s="63">
        <v>15</v>
      </c>
      <c r="C71" s="64">
        <v>16</v>
      </c>
      <c r="D71" s="64">
        <v>20</v>
      </c>
      <c r="E71" s="65">
        <v>51</v>
      </c>
      <c r="F71" s="53">
        <f>+GETPIVOTDATA("CLASIFICADO A",$A$61,"CLASIFICADO A","SUBMETODOS")/104</f>
        <v>0.49038461538461536</v>
      </c>
    </row>
    <row r="72" spans="1:6" ht="15.75" thickBot="1" x14ac:dyDescent="0.3">
      <c r="A72" s="46" t="s">
        <v>427</v>
      </c>
      <c r="B72" s="54">
        <v>34</v>
      </c>
      <c r="C72" s="55">
        <v>36</v>
      </c>
      <c r="D72" s="55">
        <v>34</v>
      </c>
      <c r="E72" s="56">
        <v>104</v>
      </c>
      <c r="F72" s="57">
        <f>SUM(F63:F71)</f>
        <v>1</v>
      </c>
    </row>
    <row r="73" spans="1:6" x14ac:dyDescent="0.25">
      <c r="A73" s="21"/>
      <c r="B73" s="22"/>
      <c r="C73" s="22"/>
      <c r="D73" s="22"/>
      <c r="E73" s="22"/>
    </row>
    <row r="74" spans="1:6" x14ac:dyDescent="0.25">
      <c r="A74" s="21"/>
      <c r="B74" s="22"/>
      <c r="C74" s="22"/>
      <c r="D74" s="22"/>
      <c r="E74" s="22"/>
    </row>
    <row r="75" spans="1:6" x14ac:dyDescent="0.25">
      <c r="A75" s="21"/>
      <c r="B75" s="22"/>
      <c r="C75" s="22"/>
      <c r="D75" s="22"/>
      <c r="E75" s="22"/>
    </row>
    <row r="76" spans="1:6" x14ac:dyDescent="0.25">
      <c r="A76" s="20" t="s">
        <v>428</v>
      </c>
      <c r="B76" s="20" t="s">
        <v>429</v>
      </c>
    </row>
    <row r="77" spans="1:6" x14ac:dyDescent="0.25">
      <c r="A77" s="20" t="s">
        <v>426</v>
      </c>
      <c r="B77" s="23" t="s">
        <v>430</v>
      </c>
      <c r="C77" s="23" t="s">
        <v>431</v>
      </c>
      <c r="D77" s="23" t="s">
        <v>432</v>
      </c>
      <c r="E77" s="23" t="s">
        <v>427</v>
      </c>
    </row>
    <row r="78" spans="1:6" x14ac:dyDescent="0.25">
      <c r="A78" s="21" t="s">
        <v>433</v>
      </c>
      <c r="B78" s="22">
        <v>32</v>
      </c>
      <c r="C78" s="22">
        <v>32</v>
      </c>
      <c r="D78" s="22">
        <v>32</v>
      </c>
      <c r="E78" s="22">
        <v>96</v>
      </c>
    </row>
    <row r="79" spans="1:6" x14ac:dyDescent="0.25">
      <c r="A79" s="24" t="s">
        <v>150</v>
      </c>
      <c r="B79" s="22">
        <v>2</v>
      </c>
      <c r="C79" s="22">
        <v>5</v>
      </c>
      <c r="D79" s="22"/>
      <c r="E79" s="22">
        <v>7</v>
      </c>
    </row>
    <row r="80" spans="1:6" x14ac:dyDescent="0.25">
      <c r="A80" s="24" t="s">
        <v>32</v>
      </c>
      <c r="B80" s="22">
        <v>2</v>
      </c>
      <c r="C80" s="22">
        <v>1</v>
      </c>
      <c r="D80" s="22">
        <v>2</v>
      </c>
      <c r="E80" s="22">
        <v>5</v>
      </c>
    </row>
    <row r="81" spans="1:12" x14ac:dyDescent="0.25">
      <c r="A81" s="24" t="s">
        <v>93</v>
      </c>
      <c r="B81" s="22">
        <v>2</v>
      </c>
      <c r="C81" s="22">
        <v>2</v>
      </c>
      <c r="D81" s="22">
        <v>3</v>
      </c>
      <c r="E81" s="22">
        <v>7</v>
      </c>
    </row>
    <row r="82" spans="1:12" x14ac:dyDescent="0.25">
      <c r="A82" s="24" t="s">
        <v>30</v>
      </c>
      <c r="B82" s="22">
        <v>1</v>
      </c>
      <c r="C82" s="22">
        <v>1</v>
      </c>
      <c r="D82" s="22"/>
      <c r="E82" s="22">
        <v>2</v>
      </c>
    </row>
    <row r="83" spans="1:12" x14ac:dyDescent="0.25">
      <c r="A83" s="24" t="s">
        <v>77</v>
      </c>
      <c r="B83" s="22">
        <v>2</v>
      </c>
      <c r="C83" s="22">
        <v>2</v>
      </c>
      <c r="D83" s="22"/>
      <c r="E83" s="22">
        <v>4</v>
      </c>
    </row>
    <row r="84" spans="1:12" x14ac:dyDescent="0.25">
      <c r="A84" s="24" t="s">
        <v>83</v>
      </c>
      <c r="B84" s="22">
        <v>4</v>
      </c>
      <c r="C84" s="22">
        <v>4</v>
      </c>
      <c r="D84" s="22">
        <v>5</v>
      </c>
      <c r="E84" s="22">
        <v>13</v>
      </c>
    </row>
    <row r="85" spans="1:12" x14ac:dyDescent="0.25">
      <c r="A85" s="24" t="s">
        <v>52</v>
      </c>
      <c r="B85" s="22">
        <v>3</v>
      </c>
      <c r="C85" s="22"/>
      <c r="D85" s="22">
        <v>1</v>
      </c>
      <c r="E85" s="22">
        <v>4</v>
      </c>
    </row>
    <row r="86" spans="1:12" x14ac:dyDescent="0.25">
      <c r="A86" s="24" t="s">
        <v>78</v>
      </c>
      <c r="B86" s="22">
        <v>1</v>
      </c>
      <c r="C86" s="22">
        <v>2</v>
      </c>
      <c r="D86" s="22">
        <v>2</v>
      </c>
      <c r="E86" s="22">
        <v>5</v>
      </c>
    </row>
    <row r="87" spans="1:12" x14ac:dyDescent="0.25">
      <c r="A87" s="24" t="s">
        <v>29</v>
      </c>
      <c r="B87" s="22">
        <v>15</v>
      </c>
      <c r="C87" s="22">
        <v>15</v>
      </c>
      <c r="D87" s="22">
        <v>19</v>
      </c>
      <c r="E87" s="22">
        <v>49</v>
      </c>
    </row>
    <row r="88" spans="1:12" x14ac:dyDescent="0.25">
      <c r="A88" s="21" t="s">
        <v>434</v>
      </c>
      <c r="B88" s="22"/>
      <c r="C88" s="22"/>
      <c r="D88" s="22">
        <v>2</v>
      </c>
      <c r="E88" s="22">
        <v>2</v>
      </c>
    </row>
    <row r="89" spans="1:12" x14ac:dyDescent="0.25">
      <c r="A89" s="24" t="s">
        <v>77</v>
      </c>
      <c r="B89" s="22"/>
      <c r="C89" s="22"/>
      <c r="D89" s="22">
        <v>1</v>
      </c>
      <c r="E89" s="22">
        <v>1</v>
      </c>
    </row>
    <row r="90" spans="1:12" x14ac:dyDescent="0.25">
      <c r="A90" s="24" t="s">
        <v>29</v>
      </c>
      <c r="B90" s="22"/>
      <c r="C90" s="22"/>
      <c r="D90" s="22">
        <v>1</v>
      </c>
      <c r="E90" s="22">
        <v>1</v>
      </c>
    </row>
    <row r="91" spans="1:12" x14ac:dyDescent="0.25">
      <c r="A91" s="21" t="s">
        <v>435</v>
      </c>
      <c r="B91" s="22">
        <v>2</v>
      </c>
      <c r="C91" s="22">
        <v>4</v>
      </c>
      <c r="D91" s="22"/>
      <c r="E91" s="22">
        <v>6</v>
      </c>
    </row>
    <row r="92" spans="1:12" x14ac:dyDescent="0.25">
      <c r="A92" s="24" t="s">
        <v>150</v>
      </c>
      <c r="B92" s="22"/>
      <c r="C92" s="22">
        <v>3</v>
      </c>
      <c r="D92" s="22"/>
      <c r="E92" s="22">
        <v>3</v>
      </c>
      <c r="L92">
        <f>17500*2</f>
        <v>35000</v>
      </c>
    </row>
    <row r="93" spans="1:12" x14ac:dyDescent="0.25">
      <c r="A93" s="24" t="s">
        <v>83</v>
      </c>
      <c r="B93" s="22">
        <v>1</v>
      </c>
      <c r="C93" s="22"/>
      <c r="D93" s="22"/>
      <c r="E93" s="22">
        <v>1</v>
      </c>
      <c r="L93">
        <f>+L92*4</f>
        <v>140000</v>
      </c>
    </row>
    <row r="94" spans="1:12" x14ac:dyDescent="0.25">
      <c r="A94" s="24" t="s">
        <v>78</v>
      </c>
      <c r="B94" s="22">
        <v>1</v>
      </c>
      <c r="C94" s="22"/>
      <c r="D94" s="22"/>
      <c r="E94" s="22">
        <v>1</v>
      </c>
    </row>
    <row r="95" spans="1:12" x14ac:dyDescent="0.25">
      <c r="A95" s="24" t="s">
        <v>29</v>
      </c>
      <c r="B95" s="22"/>
      <c r="C95" s="22">
        <v>1</v>
      </c>
      <c r="D95" s="22"/>
      <c r="E95" s="22">
        <v>1</v>
      </c>
    </row>
    <row r="96" spans="1:12" x14ac:dyDescent="0.25">
      <c r="A96" s="21" t="s">
        <v>427</v>
      </c>
      <c r="B96" s="22">
        <v>34</v>
      </c>
      <c r="C96" s="22">
        <v>36</v>
      </c>
      <c r="D96" s="22">
        <v>34</v>
      </c>
      <c r="E96" s="22">
        <v>104</v>
      </c>
    </row>
    <row r="97" spans="1:6" x14ac:dyDescent="0.25">
      <c r="A97" s="21"/>
      <c r="B97" s="22"/>
      <c r="C97" s="22"/>
      <c r="D97" s="22"/>
      <c r="E97" s="22"/>
    </row>
    <row r="98" spans="1:6" ht="15.75" thickBot="1" x14ac:dyDescent="0.3">
      <c r="A98" s="21"/>
      <c r="B98" s="22"/>
      <c r="C98" s="22"/>
      <c r="D98" s="22"/>
      <c r="E98" s="22"/>
    </row>
    <row r="99" spans="1:6" x14ac:dyDescent="0.25">
      <c r="A99" s="173" t="s">
        <v>436</v>
      </c>
      <c r="B99" s="174"/>
      <c r="C99" s="174"/>
      <c r="D99" s="174"/>
      <c r="E99" s="174"/>
      <c r="F99" s="175"/>
    </row>
    <row r="100" spans="1:6" ht="15.75" thickBot="1" x14ac:dyDescent="0.3">
      <c r="A100" s="31"/>
      <c r="B100" s="32" t="s">
        <v>441</v>
      </c>
      <c r="C100" s="32" t="s">
        <v>442</v>
      </c>
      <c r="D100" s="32" t="s">
        <v>443</v>
      </c>
      <c r="E100" s="32" t="s">
        <v>427</v>
      </c>
      <c r="F100" s="33" t="s">
        <v>440</v>
      </c>
    </row>
    <row r="101" spans="1:6" ht="15.75" hidden="1" thickBot="1" x14ac:dyDescent="0.3">
      <c r="A101" s="40" t="s">
        <v>444</v>
      </c>
      <c r="B101" s="41" t="s">
        <v>429</v>
      </c>
      <c r="C101" s="42"/>
      <c r="D101" s="42"/>
      <c r="E101" s="43"/>
      <c r="F101" s="75"/>
    </row>
    <row r="102" spans="1:6" ht="15.75" hidden="1" thickBot="1" x14ac:dyDescent="0.3">
      <c r="A102" s="36" t="s">
        <v>426</v>
      </c>
      <c r="B102" s="47" t="s">
        <v>430</v>
      </c>
      <c r="C102" s="48" t="s">
        <v>431</v>
      </c>
      <c r="D102" s="49" t="s">
        <v>432</v>
      </c>
      <c r="E102" s="50" t="s">
        <v>427</v>
      </c>
      <c r="F102" s="76"/>
    </row>
    <row r="103" spans="1:6" ht="15.75" thickBot="1" x14ac:dyDescent="0.3">
      <c r="A103" s="45" t="s">
        <v>30</v>
      </c>
      <c r="B103" s="78">
        <v>1</v>
      </c>
      <c r="C103" s="79">
        <v>1</v>
      </c>
      <c r="D103" s="79"/>
      <c r="E103" s="82">
        <v>2</v>
      </c>
      <c r="F103" s="80">
        <f>+GETPIVOTDATA("CLASIFICADO A",$A$101,"CLASIFICADO A","DIRECCION")/104</f>
        <v>1.9230769230769232E-2</v>
      </c>
    </row>
    <row r="104" spans="1:6" ht="15.75" thickBot="1" x14ac:dyDescent="0.3">
      <c r="A104" s="38" t="s">
        <v>135</v>
      </c>
      <c r="B104" s="44">
        <v>1</v>
      </c>
      <c r="C104" s="39">
        <v>1</v>
      </c>
      <c r="D104" s="39"/>
      <c r="E104" s="83">
        <v>2</v>
      </c>
      <c r="F104" s="77">
        <f>+GETPIVOTDATA("CLASIFICADO A",$A$101,"TIPO REQ.","PETICIÓN INTERÉS PARTICULAR","CLASIFICADO A","DIRECCION")/2</f>
        <v>1</v>
      </c>
    </row>
    <row r="105" spans="1:6" ht="15.75" thickBot="1" x14ac:dyDescent="0.3">
      <c r="A105" s="74" t="s">
        <v>52</v>
      </c>
      <c r="B105" s="85">
        <v>3</v>
      </c>
      <c r="C105" s="86"/>
      <c r="D105" s="86">
        <v>1</v>
      </c>
      <c r="E105" s="87">
        <v>4</v>
      </c>
      <c r="F105" s="80">
        <f>+GETPIVOTDATA("CLASIFICADO A",$A$101,"CLASIFICADO A","PLANEACION")/104</f>
        <v>3.8461538461538464E-2</v>
      </c>
    </row>
    <row r="106" spans="1:6" x14ac:dyDescent="0.25">
      <c r="A106" s="38" t="s">
        <v>135</v>
      </c>
      <c r="B106" s="44">
        <v>1</v>
      </c>
      <c r="C106" s="39"/>
      <c r="D106" s="39"/>
      <c r="E106" s="83">
        <v>1</v>
      </c>
      <c r="F106" s="91">
        <f>+GETPIVOTDATA("CLASIFICADO A",$A$101,"TIPO REQ.","PETICIÓN INTERÉS PARTICULAR","CLASIFICADO A","PLANEACION")/4</f>
        <v>0.25</v>
      </c>
    </row>
    <row r="107" spans="1:6" ht="15.75" thickBot="1" x14ac:dyDescent="0.3">
      <c r="A107" s="38" t="s">
        <v>81</v>
      </c>
      <c r="B107" s="44">
        <v>2</v>
      </c>
      <c r="C107" s="39"/>
      <c r="D107" s="39">
        <v>1</v>
      </c>
      <c r="E107" s="83">
        <v>3</v>
      </c>
      <c r="F107" s="89">
        <f>+GETPIVOTDATA("CLASIFICADO A",$A$101,"TIPO REQ.","SOLICITUD DE INFORMACIÓN","CLASIFICADO A","PLANEACION")/4</f>
        <v>0.75</v>
      </c>
    </row>
    <row r="108" spans="1:6" ht="15.75" thickBot="1" x14ac:dyDescent="0.3">
      <c r="A108" s="45" t="s">
        <v>77</v>
      </c>
      <c r="B108" s="78">
        <v>2</v>
      </c>
      <c r="C108" s="79">
        <v>2</v>
      </c>
      <c r="D108" s="79">
        <v>1</v>
      </c>
      <c r="E108" s="82">
        <v>5</v>
      </c>
      <c r="F108" s="80">
        <f>+GETPIVOTDATA("CLASIFICADO A",$A$101,"CLASIFICADO A","JURIDICA")/104</f>
        <v>4.807692307692308E-2</v>
      </c>
    </row>
    <row r="109" spans="1:6" x14ac:dyDescent="0.25">
      <c r="A109" s="38" t="s">
        <v>135</v>
      </c>
      <c r="B109" s="44">
        <v>2</v>
      </c>
      <c r="C109" s="39">
        <v>1</v>
      </c>
      <c r="D109" s="39">
        <v>1</v>
      </c>
      <c r="E109" s="83">
        <v>4</v>
      </c>
      <c r="F109" s="91">
        <f>+GETPIVOTDATA("CLASIFICADO A",$A$101,"TIPO REQ.","PETICIÓN INTERÉS PARTICULAR","CLASIFICADO A","JURIDICA")/5</f>
        <v>0.8</v>
      </c>
    </row>
    <row r="110" spans="1:6" ht="15.75" thickBot="1" x14ac:dyDescent="0.3">
      <c r="A110" s="38" t="s">
        <v>72</v>
      </c>
      <c r="B110" s="44"/>
      <c r="C110" s="39">
        <v>1</v>
      </c>
      <c r="D110" s="39"/>
      <c r="E110" s="83">
        <v>1</v>
      </c>
      <c r="F110" s="89">
        <f>+GETPIVOTDATA("CLASIFICADO A",$A$101,"TIPO REQ.","QUEJA","CLASIFICADO A","JURIDICA")/5</f>
        <v>0.2</v>
      </c>
    </row>
    <row r="111" spans="1:6" ht="15.75" thickBot="1" x14ac:dyDescent="0.3">
      <c r="A111" s="74" t="s">
        <v>32</v>
      </c>
      <c r="B111" s="85">
        <v>2</v>
      </c>
      <c r="C111" s="86">
        <v>1</v>
      </c>
      <c r="D111" s="86">
        <v>2</v>
      </c>
      <c r="E111" s="87">
        <v>5</v>
      </c>
      <c r="F111" s="80">
        <f>+GETPIVOTDATA("CLASIFICADO A",$A$101,"CLASIFICADO A","COMEDORES")/104</f>
        <v>4.807692307692308E-2</v>
      </c>
    </row>
    <row r="112" spans="1:6" x14ac:dyDescent="0.25">
      <c r="A112" s="38" t="s">
        <v>109</v>
      </c>
      <c r="B112" s="44">
        <v>1</v>
      </c>
      <c r="C112" s="39"/>
      <c r="D112" s="39"/>
      <c r="E112" s="83">
        <v>1</v>
      </c>
      <c r="F112" s="91">
        <f>+GETPIVOTDATA("CLASIFICADO A",$A$101,"TIPO REQ.","FELICITACIÓN","CLASIFICADO A","COMEDORES")/5</f>
        <v>0.2</v>
      </c>
    </row>
    <row r="113" spans="1:6" x14ac:dyDescent="0.25">
      <c r="A113" s="38" t="s">
        <v>136</v>
      </c>
      <c r="B113" s="44">
        <v>1</v>
      </c>
      <c r="C113" s="39"/>
      <c r="D113" s="39"/>
      <c r="E113" s="83">
        <v>1</v>
      </c>
      <c r="F113" s="89">
        <f>+GETPIVOTDATA("CLASIFICADO A",$A$101,"TIPO REQ.","PETICIÓN INTERÉS GENERAL","CLASIFICADO A","COMEDORES")/5</f>
        <v>0.2</v>
      </c>
    </row>
    <row r="114" spans="1:6" x14ac:dyDescent="0.25">
      <c r="A114" s="38" t="s">
        <v>81</v>
      </c>
      <c r="B114" s="44"/>
      <c r="C114" s="39">
        <v>1</v>
      </c>
      <c r="D114" s="39"/>
      <c r="E114" s="83">
        <v>1</v>
      </c>
      <c r="F114" s="89">
        <f>+GETPIVOTDATA("CLASIFICADO A",$A$101,"TIPO REQ.","SOLICITUD DE INFORMACIÓN","CLASIFICADO A","COMEDORES")/5</f>
        <v>0.2</v>
      </c>
    </row>
    <row r="115" spans="1:6" ht="15.75" thickBot="1" x14ac:dyDescent="0.3">
      <c r="A115" s="38" t="s">
        <v>108</v>
      </c>
      <c r="B115" s="44"/>
      <c r="C115" s="39"/>
      <c r="D115" s="39">
        <v>2</v>
      </c>
      <c r="E115" s="83">
        <v>2</v>
      </c>
      <c r="F115" s="89">
        <f>+GETPIVOTDATA("CLASIFICADO A",$A$101,"TIPO REQ.","SUGERENCIA","CLASIFICADO A","COMEDORES")/5</f>
        <v>0.4</v>
      </c>
    </row>
    <row r="116" spans="1:6" ht="15.75" thickBot="1" x14ac:dyDescent="0.3">
      <c r="A116" s="74" t="s">
        <v>78</v>
      </c>
      <c r="B116" s="85">
        <v>2</v>
      </c>
      <c r="C116" s="86">
        <v>2</v>
      </c>
      <c r="D116" s="86">
        <v>2</v>
      </c>
      <c r="E116" s="87">
        <v>6</v>
      </c>
      <c r="F116" s="80">
        <f>+GETPIVOTDATA("CLASIFICADO A",$A$101,"CLASIFICADO A","SUBFINANCIERA")/104</f>
        <v>5.7692307692307696E-2</v>
      </c>
    </row>
    <row r="117" spans="1:6" x14ac:dyDescent="0.25">
      <c r="A117" s="38" t="s">
        <v>135</v>
      </c>
      <c r="B117" s="44"/>
      <c r="C117" s="39"/>
      <c r="D117" s="39">
        <v>1</v>
      </c>
      <c r="E117" s="83">
        <v>1</v>
      </c>
      <c r="F117" s="89">
        <f>1/6</f>
        <v>0.16666666666666666</v>
      </c>
    </row>
    <row r="118" spans="1:6" x14ac:dyDescent="0.25">
      <c r="A118" s="38" t="s">
        <v>72</v>
      </c>
      <c r="B118" s="44">
        <v>1</v>
      </c>
      <c r="C118" s="39">
        <v>1</v>
      </c>
      <c r="D118" s="39">
        <v>1</v>
      </c>
      <c r="E118" s="83">
        <v>3</v>
      </c>
      <c r="F118" s="89">
        <f>3/6</f>
        <v>0.5</v>
      </c>
    </row>
    <row r="119" spans="1:6" ht="15.75" thickBot="1" x14ac:dyDescent="0.3">
      <c r="A119" s="38" t="s">
        <v>91</v>
      </c>
      <c r="B119" s="44">
        <v>1</v>
      </c>
      <c r="C119" s="39">
        <v>1</v>
      </c>
      <c r="D119" s="39"/>
      <c r="E119" s="83">
        <v>2</v>
      </c>
      <c r="F119" s="89">
        <f>2/6</f>
        <v>0.33333333333333331</v>
      </c>
    </row>
    <row r="120" spans="1:6" ht="15.75" thickBot="1" x14ac:dyDescent="0.3">
      <c r="A120" s="74" t="s">
        <v>93</v>
      </c>
      <c r="B120" s="85">
        <v>2</v>
      </c>
      <c r="C120" s="86">
        <v>2</v>
      </c>
      <c r="D120" s="86">
        <v>3</v>
      </c>
      <c r="E120" s="87">
        <v>7</v>
      </c>
      <c r="F120" s="80">
        <f>+GETPIVOTDATA("CLASIFICADO A",$A$101,"CLASIFICADO A","DESARROLLO HUMANO")/104</f>
        <v>6.7307692307692304E-2</v>
      </c>
    </row>
    <row r="121" spans="1:6" x14ac:dyDescent="0.25">
      <c r="A121" s="38" t="s">
        <v>136</v>
      </c>
      <c r="B121" s="44"/>
      <c r="C121" s="39"/>
      <c r="D121" s="39">
        <v>1</v>
      </c>
      <c r="E121" s="83">
        <v>1</v>
      </c>
      <c r="F121" s="89">
        <f>1/7</f>
        <v>0.14285714285714285</v>
      </c>
    </row>
    <row r="122" spans="1:6" x14ac:dyDescent="0.25">
      <c r="A122" s="38" t="s">
        <v>135</v>
      </c>
      <c r="B122" s="44">
        <v>1</v>
      </c>
      <c r="C122" s="39">
        <v>1</v>
      </c>
      <c r="D122" s="39">
        <v>2</v>
      </c>
      <c r="E122" s="83">
        <v>4</v>
      </c>
      <c r="F122" s="89">
        <f>4/7</f>
        <v>0.5714285714285714</v>
      </c>
    </row>
    <row r="123" spans="1:6" x14ac:dyDescent="0.25">
      <c r="A123" s="38" t="s">
        <v>72</v>
      </c>
      <c r="B123" s="44"/>
      <c r="C123" s="39">
        <v>1</v>
      </c>
      <c r="D123" s="39"/>
      <c r="E123" s="83">
        <v>1</v>
      </c>
      <c r="F123" s="89">
        <f>1/7</f>
        <v>0.14285714285714285</v>
      </c>
    </row>
    <row r="124" spans="1:6" ht="15.75" thickBot="1" x14ac:dyDescent="0.3">
      <c r="A124" s="38" t="s">
        <v>107</v>
      </c>
      <c r="B124" s="44">
        <v>1</v>
      </c>
      <c r="C124" s="39"/>
      <c r="D124" s="39"/>
      <c r="E124" s="83">
        <v>1</v>
      </c>
      <c r="F124" s="89">
        <f>1/7</f>
        <v>0.14285714285714285</v>
      </c>
    </row>
    <row r="125" spans="1:6" ht="15.75" thickBot="1" x14ac:dyDescent="0.3">
      <c r="A125" s="74" t="s">
        <v>150</v>
      </c>
      <c r="B125" s="85">
        <v>2</v>
      </c>
      <c r="C125" s="86">
        <v>8</v>
      </c>
      <c r="D125" s="86"/>
      <c r="E125" s="87">
        <v>10</v>
      </c>
      <c r="F125" s="80">
        <f>+GETPIVOTDATA("CLASIFICADO A",$A$101,"CLASIFICADO A","BAÑOS PUBLICOS")/104</f>
        <v>9.6153846153846159E-2</v>
      </c>
    </row>
    <row r="126" spans="1:6" x14ac:dyDescent="0.25">
      <c r="A126" s="38" t="s">
        <v>136</v>
      </c>
      <c r="B126" s="44"/>
      <c r="C126" s="39">
        <v>1</v>
      </c>
      <c r="D126" s="39"/>
      <c r="E126" s="83">
        <v>1</v>
      </c>
      <c r="F126" s="89">
        <f>1/10</f>
        <v>0.1</v>
      </c>
    </row>
    <row r="127" spans="1:6" x14ac:dyDescent="0.25">
      <c r="A127" s="38" t="s">
        <v>135</v>
      </c>
      <c r="B127" s="44"/>
      <c r="C127" s="39">
        <v>1</v>
      </c>
      <c r="D127" s="39"/>
      <c r="E127" s="83">
        <v>1</v>
      </c>
      <c r="F127" s="89">
        <f>1/10</f>
        <v>0.1</v>
      </c>
    </row>
    <row r="128" spans="1:6" x14ac:dyDescent="0.25">
      <c r="A128" s="38" t="s">
        <v>72</v>
      </c>
      <c r="B128" s="44">
        <v>2</v>
      </c>
      <c r="C128" s="39">
        <v>1</v>
      </c>
      <c r="D128" s="39"/>
      <c r="E128" s="83">
        <v>3</v>
      </c>
      <c r="F128" s="89">
        <f>3/10</f>
        <v>0.3</v>
      </c>
    </row>
    <row r="129" spans="1:6" x14ac:dyDescent="0.25">
      <c r="A129" s="38" t="s">
        <v>107</v>
      </c>
      <c r="B129" s="44"/>
      <c r="C129" s="39">
        <v>4</v>
      </c>
      <c r="D129" s="39"/>
      <c r="E129" s="83">
        <v>4</v>
      </c>
      <c r="F129" s="89">
        <f>4/10</f>
        <v>0.4</v>
      </c>
    </row>
    <row r="130" spans="1:6" ht="15.75" thickBot="1" x14ac:dyDescent="0.3">
      <c r="A130" s="38" t="s">
        <v>81</v>
      </c>
      <c r="B130" s="44"/>
      <c r="C130" s="39">
        <v>1</v>
      </c>
      <c r="D130" s="39"/>
      <c r="E130" s="83">
        <v>1</v>
      </c>
      <c r="F130" s="89">
        <f>1/10</f>
        <v>0.1</v>
      </c>
    </row>
    <row r="131" spans="1:6" ht="15.75" thickBot="1" x14ac:dyDescent="0.3">
      <c r="A131" s="74" t="s">
        <v>83</v>
      </c>
      <c r="B131" s="85">
        <v>5</v>
      </c>
      <c r="C131" s="86">
        <v>4</v>
      </c>
      <c r="D131" s="86">
        <v>5</v>
      </c>
      <c r="E131" s="87">
        <v>14</v>
      </c>
      <c r="F131" s="80">
        <f>+GETPIVOTDATA("CLASIFICADO A",$A$101,"CLASIFICADO A","MISION BOGOTA")/104</f>
        <v>0.13461538461538461</v>
      </c>
    </row>
    <row r="132" spans="1:6" x14ac:dyDescent="0.25">
      <c r="A132" s="38" t="s">
        <v>136</v>
      </c>
      <c r="B132" s="44">
        <v>2</v>
      </c>
      <c r="C132" s="39"/>
      <c r="D132" s="39"/>
      <c r="E132" s="83">
        <v>2</v>
      </c>
      <c r="F132" s="89">
        <f>2/15</f>
        <v>0.13333333333333333</v>
      </c>
    </row>
    <row r="133" spans="1:6" x14ac:dyDescent="0.25">
      <c r="A133" s="38" t="s">
        <v>135</v>
      </c>
      <c r="B133" s="44">
        <v>2</v>
      </c>
      <c r="C133" s="39">
        <v>1</v>
      </c>
      <c r="D133" s="39">
        <v>5</v>
      </c>
      <c r="E133" s="83">
        <v>8</v>
      </c>
      <c r="F133" s="89">
        <f>8/15</f>
        <v>0.53333333333333333</v>
      </c>
    </row>
    <row r="134" spans="1:6" x14ac:dyDescent="0.25">
      <c r="A134" s="38" t="s">
        <v>72</v>
      </c>
      <c r="B134" s="44"/>
      <c r="C134" s="39">
        <v>1</v>
      </c>
      <c r="D134" s="39"/>
      <c r="E134" s="83">
        <v>1</v>
      </c>
      <c r="F134" s="89">
        <f>+GETPIVOTDATA("CLASIFICADO A",$A$101,"TIPO REQ.","QUEJA","CLASIFICADO A","MISION BOGOTA")/14</f>
        <v>7.1428571428571425E-2</v>
      </c>
    </row>
    <row r="135" spans="1:6" x14ac:dyDescent="0.25">
      <c r="A135" s="38" t="s">
        <v>107</v>
      </c>
      <c r="B135" s="44"/>
      <c r="C135" s="39">
        <v>1</v>
      </c>
      <c r="D135" s="39"/>
      <c r="E135" s="83">
        <v>1</v>
      </c>
      <c r="F135" s="89">
        <f>+GETPIVOTDATA("CLASIFICADO A",$A$101,"TIPO REQ.","RECLAMO","CLASIFICADO A","MISION BOGOTA")/14</f>
        <v>7.1428571428571425E-2</v>
      </c>
    </row>
    <row r="136" spans="1:6" ht="15.75" thickBot="1" x14ac:dyDescent="0.3">
      <c r="A136" s="38" t="s">
        <v>81</v>
      </c>
      <c r="B136" s="44">
        <v>1</v>
      </c>
      <c r="C136" s="39">
        <v>1</v>
      </c>
      <c r="D136" s="39"/>
      <c r="E136" s="83">
        <v>2</v>
      </c>
      <c r="F136" s="89">
        <f>2/15</f>
        <v>0.13333333333333333</v>
      </c>
    </row>
    <row r="137" spans="1:6" ht="15.75" thickBot="1" x14ac:dyDescent="0.3">
      <c r="A137" s="74" t="s">
        <v>29</v>
      </c>
      <c r="B137" s="85">
        <v>15</v>
      </c>
      <c r="C137" s="86">
        <v>16</v>
      </c>
      <c r="D137" s="86">
        <v>20</v>
      </c>
      <c r="E137" s="87">
        <v>51</v>
      </c>
      <c r="F137" s="80">
        <f>+GETPIVOTDATA("CLASIFICADO A",$A$101,"CLASIFICADO A","SUBMETODOS")/104</f>
        <v>0.49038461538461536</v>
      </c>
    </row>
    <row r="138" spans="1:6" x14ac:dyDescent="0.25">
      <c r="A138" s="38" t="s">
        <v>136</v>
      </c>
      <c r="B138" s="44">
        <v>2</v>
      </c>
      <c r="C138" s="39">
        <v>4</v>
      </c>
      <c r="D138" s="39">
        <v>1</v>
      </c>
      <c r="E138" s="83">
        <v>7</v>
      </c>
      <c r="F138" s="88">
        <f>7/50</f>
        <v>0.14000000000000001</v>
      </c>
    </row>
    <row r="139" spans="1:6" x14ac:dyDescent="0.25">
      <c r="A139" s="38" t="s">
        <v>135</v>
      </c>
      <c r="B139" s="44">
        <v>4</v>
      </c>
      <c r="C139" s="39">
        <v>7</v>
      </c>
      <c r="D139" s="39">
        <v>5</v>
      </c>
      <c r="E139" s="83">
        <v>16</v>
      </c>
      <c r="F139" s="88">
        <f>16/50</f>
        <v>0.32</v>
      </c>
    </row>
    <row r="140" spans="1:6" x14ac:dyDescent="0.25">
      <c r="A140" s="38" t="s">
        <v>72</v>
      </c>
      <c r="B140" s="44">
        <v>1</v>
      </c>
      <c r="C140" s="39">
        <v>2</v>
      </c>
      <c r="D140" s="39">
        <v>1</v>
      </c>
      <c r="E140" s="83">
        <v>4</v>
      </c>
      <c r="F140" s="88">
        <f>3/50</f>
        <v>0.06</v>
      </c>
    </row>
    <row r="141" spans="1:6" x14ac:dyDescent="0.25">
      <c r="A141" s="38" t="s">
        <v>107</v>
      </c>
      <c r="B141" s="44">
        <v>2</v>
      </c>
      <c r="C141" s="39"/>
      <c r="D141" s="39">
        <v>4</v>
      </c>
      <c r="E141" s="83">
        <v>6</v>
      </c>
      <c r="F141" s="88">
        <f>6/50</f>
        <v>0.12</v>
      </c>
    </row>
    <row r="142" spans="1:6" x14ac:dyDescent="0.25">
      <c r="A142" s="38" t="s">
        <v>81</v>
      </c>
      <c r="B142" s="44"/>
      <c r="C142" s="39"/>
      <c r="D142" s="39">
        <v>1</v>
      </c>
      <c r="E142" s="83">
        <v>1</v>
      </c>
      <c r="F142" s="88">
        <f>1/50</f>
        <v>0.02</v>
      </c>
    </row>
    <row r="143" spans="1:6" ht="15.75" thickBot="1" x14ac:dyDescent="0.3">
      <c r="A143" s="38" t="s">
        <v>108</v>
      </c>
      <c r="B143" s="44">
        <v>6</v>
      </c>
      <c r="C143" s="39">
        <v>3</v>
      </c>
      <c r="D143" s="39">
        <v>8</v>
      </c>
      <c r="E143" s="83">
        <v>17</v>
      </c>
      <c r="F143" s="90">
        <f>17/50</f>
        <v>0.34</v>
      </c>
    </row>
    <row r="144" spans="1:6" ht="15.75" thickBot="1" x14ac:dyDescent="0.3">
      <c r="A144" s="46" t="s">
        <v>427</v>
      </c>
      <c r="B144" s="54">
        <v>34</v>
      </c>
      <c r="C144" s="55">
        <v>36</v>
      </c>
      <c r="D144" s="55">
        <v>34</v>
      </c>
      <c r="E144" s="84">
        <v>104</v>
      </c>
      <c r="F144" s="81">
        <f>+F137+F131+F125+F120+F116+F111+F108+F105+F103</f>
        <v>1</v>
      </c>
    </row>
    <row r="146" spans="1:6" ht="15.75" thickBot="1" x14ac:dyDescent="0.3"/>
    <row r="147" spans="1:6" x14ac:dyDescent="0.25">
      <c r="A147" s="173" t="s">
        <v>436</v>
      </c>
      <c r="B147" s="174"/>
      <c r="C147" s="174"/>
      <c r="D147" s="174"/>
      <c r="E147" s="174"/>
      <c r="F147" s="175"/>
    </row>
    <row r="148" spans="1:6" ht="15.75" thickBot="1" x14ac:dyDescent="0.3">
      <c r="A148" s="31"/>
      <c r="B148" s="32" t="s">
        <v>441</v>
      </c>
      <c r="C148" s="32" t="s">
        <v>442</v>
      </c>
      <c r="D148" s="32" t="s">
        <v>443</v>
      </c>
      <c r="E148" s="32" t="s">
        <v>427</v>
      </c>
      <c r="F148" s="33" t="s">
        <v>440</v>
      </c>
    </row>
    <row r="149" spans="1:6" hidden="1" x14ac:dyDescent="0.25">
      <c r="A149" s="36" t="s">
        <v>428</v>
      </c>
      <c r="B149" s="98" t="s">
        <v>429</v>
      </c>
      <c r="C149" s="99"/>
      <c r="D149" s="99"/>
      <c r="E149" s="37"/>
      <c r="F149" s="37"/>
    </row>
    <row r="150" spans="1:6" ht="15.75" hidden="1" thickBot="1" x14ac:dyDescent="0.3">
      <c r="A150" s="36" t="s">
        <v>426</v>
      </c>
      <c r="B150" s="108" t="s">
        <v>430</v>
      </c>
      <c r="C150" s="109" t="s">
        <v>431</v>
      </c>
      <c r="D150" s="110" t="s">
        <v>432</v>
      </c>
      <c r="E150" s="111" t="s">
        <v>427</v>
      </c>
      <c r="F150" s="37"/>
    </row>
    <row r="151" spans="1:6" ht="15.75" thickBot="1" x14ac:dyDescent="0.3">
      <c r="A151" s="72" t="s">
        <v>72</v>
      </c>
      <c r="B151" s="104">
        <v>4</v>
      </c>
      <c r="C151" s="100">
        <v>7</v>
      </c>
      <c r="D151" s="100">
        <v>2</v>
      </c>
      <c r="E151" s="142">
        <v>13</v>
      </c>
      <c r="F151" s="37"/>
    </row>
    <row r="152" spans="1:6" x14ac:dyDescent="0.25">
      <c r="A152" s="106" t="s">
        <v>77</v>
      </c>
      <c r="B152" s="104"/>
      <c r="C152" s="100">
        <v>1</v>
      </c>
      <c r="D152" s="100"/>
      <c r="E152" s="142">
        <v>1</v>
      </c>
      <c r="F152" s="101">
        <f>+GETPIVOTDATA("TIPO REQ.",$A$149,"TIPO REQ.","QUEJA","CLASIFICADO A","JURIDICA")/13</f>
        <v>7.6923076923076927E-2</v>
      </c>
    </row>
    <row r="153" spans="1:6" x14ac:dyDescent="0.25">
      <c r="A153" s="106" t="s">
        <v>83</v>
      </c>
      <c r="B153" s="104"/>
      <c r="C153" s="100">
        <v>1</v>
      </c>
      <c r="D153" s="100"/>
      <c r="E153" s="142">
        <v>1</v>
      </c>
      <c r="F153" s="101">
        <f>+GETPIVOTDATA("TIPO REQ.",$A$149,"TIPO REQ.","QUEJA","CLASIFICADO A","MISION BOGOTA")/13</f>
        <v>7.6923076923076927E-2</v>
      </c>
    </row>
    <row r="154" spans="1:6" x14ac:dyDescent="0.25">
      <c r="A154" s="106" t="s">
        <v>93</v>
      </c>
      <c r="B154" s="104"/>
      <c r="C154" s="100">
        <v>1</v>
      </c>
      <c r="D154" s="100"/>
      <c r="E154" s="142">
        <v>1</v>
      </c>
      <c r="F154" s="101">
        <f>+GETPIVOTDATA("TIPO REQ.",$A$149,"TIPO REQ.","QUEJA","CLASIFICADO A","DESARROLLO HUMANO")/13</f>
        <v>7.6923076923076927E-2</v>
      </c>
    </row>
    <row r="155" spans="1:6" x14ac:dyDescent="0.25">
      <c r="A155" s="106" t="s">
        <v>78</v>
      </c>
      <c r="B155" s="104">
        <v>1</v>
      </c>
      <c r="C155" s="100">
        <v>1</v>
      </c>
      <c r="D155" s="100">
        <v>1</v>
      </c>
      <c r="E155" s="142">
        <v>3</v>
      </c>
      <c r="F155" s="101">
        <f>+GETPIVOTDATA("TIPO REQ.",$A$149,"TIPO REQ.","QUEJA","CLASIFICADO A","SUBFINANCIERA")/13</f>
        <v>0.23076923076923078</v>
      </c>
    </row>
    <row r="156" spans="1:6" x14ac:dyDescent="0.25">
      <c r="A156" s="106" t="s">
        <v>150</v>
      </c>
      <c r="B156" s="104">
        <v>2</v>
      </c>
      <c r="C156" s="100">
        <v>1</v>
      </c>
      <c r="D156" s="100"/>
      <c r="E156" s="142">
        <v>3</v>
      </c>
      <c r="F156" s="101">
        <f>+GETPIVOTDATA("TIPO REQ.",$A$149,"TIPO REQ.","QUEJA","CLASIFICADO A","BAÑOS PUBLICOS")/13</f>
        <v>0.23076923076923078</v>
      </c>
    </row>
    <row r="157" spans="1:6" ht="15.75" thickBot="1" x14ac:dyDescent="0.3">
      <c r="A157" s="107" t="s">
        <v>29</v>
      </c>
      <c r="B157" s="104">
        <v>1</v>
      </c>
      <c r="C157" s="100">
        <v>2</v>
      </c>
      <c r="D157" s="100">
        <v>1</v>
      </c>
      <c r="E157" s="142">
        <v>4</v>
      </c>
      <c r="F157" s="101">
        <f>+GETPIVOTDATA("TIPO REQ.",$A$149,"TIPO REQ.","QUEJA","CLASIFICADO A","SUBMETODOS")/13</f>
        <v>0.30769230769230771</v>
      </c>
    </row>
    <row r="158" spans="1:6" ht="15.75" thickBot="1" x14ac:dyDescent="0.3">
      <c r="A158" s="72" t="s">
        <v>427</v>
      </c>
      <c r="B158" s="105">
        <v>4</v>
      </c>
      <c r="C158" s="102">
        <v>7</v>
      </c>
      <c r="D158" s="102">
        <v>2</v>
      </c>
      <c r="E158" s="143">
        <v>13</v>
      </c>
      <c r="F158" s="103">
        <f>SUM(F152:F157)</f>
        <v>1</v>
      </c>
    </row>
    <row r="160" spans="1:6" ht="15.75" thickBot="1" x14ac:dyDescent="0.3"/>
    <row r="161" spans="1:6" x14ac:dyDescent="0.25">
      <c r="A161" s="173" t="s">
        <v>436</v>
      </c>
      <c r="B161" s="174"/>
      <c r="C161" s="174"/>
      <c r="D161" s="174"/>
      <c r="E161" s="174"/>
      <c r="F161" s="175"/>
    </row>
    <row r="162" spans="1:6" ht="15.75" thickBot="1" x14ac:dyDescent="0.3">
      <c r="A162" s="31"/>
      <c r="B162" s="32" t="s">
        <v>441</v>
      </c>
      <c r="C162" s="32" t="s">
        <v>442</v>
      </c>
      <c r="D162" s="32" t="s">
        <v>443</v>
      </c>
      <c r="E162" s="32" t="s">
        <v>427</v>
      </c>
      <c r="F162" s="33" t="s">
        <v>440</v>
      </c>
    </row>
    <row r="163" spans="1:6" hidden="1" x14ac:dyDescent="0.25">
      <c r="A163" s="36" t="s">
        <v>428</v>
      </c>
      <c r="B163" s="98" t="s">
        <v>429</v>
      </c>
      <c r="C163" s="99"/>
      <c r="D163" s="99"/>
      <c r="E163" s="37"/>
      <c r="F163" s="37"/>
    </row>
    <row r="164" spans="1:6" ht="15.75" hidden="1" thickBot="1" x14ac:dyDescent="0.3">
      <c r="A164" s="36" t="s">
        <v>426</v>
      </c>
      <c r="B164" s="108" t="s">
        <v>430</v>
      </c>
      <c r="C164" s="109" t="s">
        <v>431</v>
      </c>
      <c r="D164" s="110" t="s">
        <v>432</v>
      </c>
      <c r="E164" s="111" t="s">
        <v>427</v>
      </c>
      <c r="F164" s="37"/>
    </row>
    <row r="165" spans="1:6" ht="15.75" thickBot="1" x14ac:dyDescent="0.3">
      <c r="A165" s="72" t="s">
        <v>107</v>
      </c>
      <c r="B165" s="104">
        <v>3</v>
      </c>
      <c r="C165" s="100">
        <v>5</v>
      </c>
      <c r="D165" s="100">
        <v>4</v>
      </c>
      <c r="E165" s="83">
        <v>12</v>
      </c>
      <c r="F165" s="117"/>
    </row>
    <row r="166" spans="1:6" x14ac:dyDescent="0.25">
      <c r="A166" s="114" t="s">
        <v>93</v>
      </c>
      <c r="B166" s="115">
        <v>1</v>
      </c>
      <c r="C166" s="116"/>
      <c r="D166" s="116"/>
      <c r="E166" s="121">
        <v>1</v>
      </c>
      <c r="F166" s="118">
        <f>+GETPIVOTDATA("TIPO REQ.",$A$163,"TIPO REQ.","RECLAMO","CLASIFICADO A","DESARROLLO HUMANO")/12</f>
        <v>8.3333333333333329E-2</v>
      </c>
    </row>
    <row r="167" spans="1:6" x14ac:dyDescent="0.25">
      <c r="A167" s="106" t="s">
        <v>83</v>
      </c>
      <c r="B167" s="104"/>
      <c r="C167" s="100">
        <v>1</v>
      </c>
      <c r="D167" s="100"/>
      <c r="E167" s="83">
        <v>1</v>
      </c>
      <c r="F167" s="119">
        <f>+GETPIVOTDATA("TIPO REQ.",$A$163,"TIPO REQ.","RECLAMO","CLASIFICADO A","MISION BOGOTA")/12</f>
        <v>8.3333333333333329E-2</v>
      </c>
    </row>
    <row r="168" spans="1:6" x14ac:dyDescent="0.25">
      <c r="A168" s="106" t="s">
        <v>150</v>
      </c>
      <c r="B168" s="104"/>
      <c r="C168" s="100">
        <v>4</v>
      </c>
      <c r="D168" s="100"/>
      <c r="E168" s="83">
        <v>4</v>
      </c>
      <c r="F168" s="119">
        <f>+GETPIVOTDATA("TIPO REQ.",$A$163,"TIPO REQ.","RECLAMO","CLASIFICADO A","BAÑOS PUBLICOS")/12</f>
        <v>0.33333333333333331</v>
      </c>
    </row>
    <row r="169" spans="1:6" ht="15.75" thickBot="1" x14ac:dyDescent="0.3">
      <c r="A169" s="107" t="s">
        <v>29</v>
      </c>
      <c r="B169" s="105">
        <v>2</v>
      </c>
      <c r="C169" s="102"/>
      <c r="D169" s="102">
        <v>4</v>
      </c>
      <c r="E169" s="122">
        <v>6</v>
      </c>
      <c r="F169" s="120">
        <f>+GETPIVOTDATA("TIPO REQ.",$A$163,"TIPO REQ.","RECLAMO","CLASIFICADO A","SUBMETODOS")/12</f>
        <v>0.5</v>
      </c>
    </row>
    <row r="170" spans="1:6" ht="15.75" thickBot="1" x14ac:dyDescent="0.3">
      <c r="A170" s="72" t="s">
        <v>427</v>
      </c>
      <c r="B170" s="105">
        <v>3</v>
      </c>
      <c r="C170" s="102">
        <v>5</v>
      </c>
      <c r="D170" s="102">
        <v>4</v>
      </c>
      <c r="E170" s="122">
        <v>12</v>
      </c>
      <c r="F170" s="123">
        <f>SUM(F166:F169)</f>
        <v>1</v>
      </c>
    </row>
    <row r="171" spans="1:6" x14ac:dyDescent="0.25">
      <c r="F171" s="112"/>
    </row>
    <row r="172" spans="1:6" ht="15.75" thickBot="1" x14ac:dyDescent="0.3">
      <c r="F172" s="113"/>
    </row>
    <row r="173" spans="1:6" x14ac:dyDescent="0.25">
      <c r="A173" s="114" t="s">
        <v>93</v>
      </c>
      <c r="B173" s="118">
        <f>+GETPIVOTDATA("TIPO REQ.",$A$163,"TIPO REQ.","RECLAMO","CLASIFICADO A","DESARROLLO HUMANO")/12</f>
        <v>8.3333333333333329E-2</v>
      </c>
    </row>
    <row r="174" spans="1:6" x14ac:dyDescent="0.25">
      <c r="A174" s="106" t="s">
        <v>83</v>
      </c>
      <c r="B174" s="119">
        <f>+GETPIVOTDATA("TIPO REQ.",$A$163,"TIPO REQ.","RECLAMO","CLASIFICADO A","MISION BOGOTA")/12</f>
        <v>8.3333333333333329E-2</v>
      </c>
    </row>
    <row r="175" spans="1:6" x14ac:dyDescent="0.25">
      <c r="A175" s="106" t="s">
        <v>150</v>
      </c>
      <c r="B175" s="119">
        <f>+GETPIVOTDATA("TIPO REQ.",$A$163,"TIPO REQ.","RECLAMO","CLASIFICADO A","BAÑOS PUBLICOS")/12</f>
        <v>0.33333333333333331</v>
      </c>
    </row>
    <row r="176" spans="1:6" ht="15.75" thickBot="1" x14ac:dyDescent="0.3">
      <c r="A176" s="107" t="s">
        <v>29</v>
      </c>
      <c r="B176" s="120">
        <f>+GETPIVOTDATA("TIPO REQ.",$A$163,"TIPO REQ.","RECLAMO","CLASIFICADO A","SUBMETODOS")/12</f>
        <v>0.5</v>
      </c>
    </row>
    <row r="182" spans="1:6" ht="15.75" thickBot="1" x14ac:dyDescent="0.3"/>
    <row r="183" spans="1:6" ht="18.75" customHeight="1" thickBot="1" x14ac:dyDescent="0.3">
      <c r="A183" s="173" t="s">
        <v>445</v>
      </c>
      <c r="B183" s="174"/>
      <c r="C183" s="174"/>
      <c r="D183" s="174"/>
      <c r="E183" s="174"/>
      <c r="F183" s="175"/>
    </row>
    <row r="184" spans="1:6" ht="15.75" thickBot="1" x14ac:dyDescent="0.3">
      <c r="A184" s="129"/>
      <c r="B184" s="130" t="s">
        <v>441</v>
      </c>
      <c r="C184" s="130" t="s">
        <v>442</v>
      </c>
      <c r="D184" s="130" t="s">
        <v>443</v>
      </c>
      <c r="E184" s="124" t="s">
        <v>427</v>
      </c>
      <c r="F184" s="131" t="s">
        <v>440</v>
      </c>
    </row>
    <row r="185" spans="1:6" ht="15.75" hidden="1" thickBot="1" x14ac:dyDescent="0.3">
      <c r="A185" s="40" t="s">
        <v>428</v>
      </c>
      <c r="B185" s="41" t="s">
        <v>429</v>
      </c>
      <c r="C185" s="42"/>
      <c r="D185" s="42"/>
      <c r="E185" s="133"/>
      <c r="F185" s="37"/>
    </row>
    <row r="186" spans="1:6" ht="15.75" hidden="1" thickBot="1" x14ac:dyDescent="0.3">
      <c r="A186" s="36" t="s">
        <v>426</v>
      </c>
      <c r="B186" s="47" t="s">
        <v>430</v>
      </c>
      <c r="C186" s="48" t="s">
        <v>431</v>
      </c>
      <c r="D186" s="49" t="s">
        <v>432</v>
      </c>
      <c r="E186" s="50" t="s">
        <v>427</v>
      </c>
      <c r="F186" s="37"/>
    </row>
    <row r="187" spans="1:6" x14ac:dyDescent="0.25">
      <c r="A187" s="70" t="s">
        <v>30</v>
      </c>
      <c r="B187" s="115">
        <v>1</v>
      </c>
      <c r="C187" s="116">
        <v>1</v>
      </c>
      <c r="D187" s="116"/>
      <c r="E187" s="121">
        <v>2</v>
      </c>
      <c r="F187" s="126">
        <f>+GETPIVOTDATA("TIPO REQ.",$A$185,"CLASIFICADO A","DIRECCION")/104</f>
        <v>1.9230769230769232E-2</v>
      </c>
    </row>
    <row r="188" spans="1:6" x14ac:dyDescent="0.25">
      <c r="A188" s="71" t="s">
        <v>52</v>
      </c>
      <c r="B188" s="104">
        <v>3</v>
      </c>
      <c r="C188" s="100"/>
      <c r="D188" s="100">
        <v>1</v>
      </c>
      <c r="E188" s="83">
        <v>4</v>
      </c>
      <c r="F188" s="127">
        <f>+GETPIVOTDATA("TIPO REQ.",$A$185,"CLASIFICADO A","PLANEACION")/104</f>
        <v>3.8461538461538464E-2</v>
      </c>
    </row>
    <row r="189" spans="1:6" x14ac:dyDescent="0.25">
      <c r="A189" s="71" t="s">
        <v>77</v>
      </c>
      <c r="B189" s="104">
        <v>2</v>
      </c>
      <c r="C189" s="100">
        <v>2</v>
      </c>
      <c r="D189" s="100">
        <v>1</v>
      </c>
      <c r="E189" s="83">
        <v>5</v>
      </c>
      <c r="F189" s="127">
        <f>+GETPIVOTDATA("TIPO REQ.",$A$185,"CLASIFICADO A","JURIDICA")/104</f>
        <v>4.807692307692308E-2</v>
      </c>
    </row>
    <row r="190" spans="1:6" x14ac:dyDescent="0.25">
      <c r="A190" s="71" t="s">
        <v>32</v>
      </c>
      <c r="B190" s="104">
        <v>2</v>
      </c>
      <c r="C190" s="100">
        <v>1</v>
      </c>
      <c r="D190" s="100">
        <v>2</v>
      </c>
      <c r="E190" s="83">
        <v>5</v>
      </c>
      <c r="F190" s="127">
        <f>+GETPIVOTDATA("TIPO REQ.",$A$185,"CLASIFICADO A","COMEDORES")/104</f>
        <v>4.807692307692308E-2</v>
      </c>
    </row>
    <row r="191" spans="1:6" x14ac:dyDescent="0.25">
      <c r="A191" s="71" t="s">
        <v>78</v>
      </c>
      <c r="B191" s="104">
        <v>2</v>
      </c>
      <c r="C191" s="100">
        <v>2</v>
      </c>
      <c r="D191" s="100">
        <v>2</v>
      </c>
      <c r="E191" s="83">
        <v>6</v>
      </c>
      <c r="F191" s="127">
        <f>+GETPIVOTDATA("TIPO REQ.",$A$185,"CLASIFICADO A","SUBFINANCIERA")/104</f>
        <v>5.7692307692307696E-2</v>
      </c>
    </row>
    <row r="192" spans="1:6" x14ac:dyDescent="0.25">
      <c r="A192" s="71" t="s">
        <v>93</v>
      </c>
      <c r="B192" s="104">
        <v>2</v>
      </c>
      <c r="C192" s="100">
        <v>2</v>
      </c>
      <c r="D192" s="100">
        <v>3</v>
      </c>
      <c r="E192" s="83">
        <v>7</v>
      </c>
      <c r="F192" s="127">
        <f>+GETPIVOTDATA("TIPO REQ.",$A$185,"CLASIFICADO A","DESARROLLO HUMANO")/104</f>
        <v>6.7307692307692304E-2</v>
      </c>
    </row>
    <row r="193" spans="1:6" x14ac:dyDescent="0.25">
      <c r="A193" s="71" t="s">
        <v>150</v>
      </c>
      <c r="B193" s="104">
        <v>2</v>
      </c>
      <c r="C193" s="100">
        <v>8</v>
      </c>
      <c r="D193" s="100"/>
      <c r="E193" s="83">
        <v>10</v>
      </c>
      <c r="F193" s="127">
        <f>+GETPIVOTDATA("TIPO REQ.",$A$185,"CLASIFICADO A","BAÑOS PUBLICOS")/104</f>
        <v>9.6153846153846159E-2</v>
      </c>
    </row>
    <row r="194" spans="1:6" x14ac:dyDescent="0.25">
      <c r="A194" s="71" t="s">
        <v>83</v>
      </c>
      <c r="B194" s="104">
        <v>5</v>
      </c>
      <c r="C194" s="100">
        <v>4</v>
      </c>
      <c r="D194" s="100">
        <v>5</v>
      </c>
      <c r="E194" s="83">
        <v>14</v>
      </c>
      <c r="F194" s="127">
        <f>+GETPIVOTDATA("TIPO REQ.",$A$185,"CLASIFICADO A","MISION BOGOTA")/104</f>
        <v>0.13461538461538461</v>
      </c>
    </row>
    <row r="195" spans="1:6" ht="15.75" thickBot="1" x14ac:dyDescent="0.3">
      <c r="A195" s="72" t="s">
        <v>29</v>
      </c>
      <c r="B195" s="104">
        <v>15</v>
      </c>
      <c r="C195" s="100">
        <v>16</v>
      </c>
      <c r="D195" s="100">
        <v>20</v>
      </c>
      <c r="E195" s="83">
        <v>51</v>
      </c>
      <c r="F195" s="128">
        <f>+GETPIVOTDATA("TIPO REQ.",$A$185,"CLASIFICADO A","SUBMETODOS")/104</f>
        <v>0.49038461538461536</v>
      </c>
    </row>
    <row r="196" spans="1:6" ht="15.75" thickBot="1" x14ac:dyDescent="0.3">
      <c r="A196" s="46" t="s">
        <v>427</v>
      </c>
      <c r="B196" s="105">
        <v>34</v>
      </c>
      <c r="C196" s="102">
        <v>36</v>
      </c>
      <c r="D196" s="102">
        <v>34</v>
      </c>
      <c r="E196" s="122">
        <v>104</v>
      </c>
      <c r="F196" s="132">
        <f>SUM(F187:F195)</f>
        <v>1</v>
      </c>
    </row>
    <row r="198" spans="1:6" ht="15.75" thickBot="1" x14ac:dyDescent="0.3"/>
    <row r="199" spans="1:6" x14ac:dyDescent="0.25">
      <c r="A199" s="125" t="s">
        <v>30</v>
      </c>
      <c r="B199" s="126">
        <f>+GETPIVOTDATA("TIPO REQ.",$A$185,"CLASIFICADO A","DIRECCION")/104</f>
        <v>1.9230769230769232E-2</v>
      </c>
    </row>
    <row r="200" spans="1:6" x14ac:dyDescent="0.25">
      <c r="A200" s="92" t="s">
        <v>52</v>
      </c>
      <c r="B200" s="127">
        <f>+GETPIVOTDATA("TIPO REQ.",$A$185,"CLASIFICADO A","PLANEACION")/104</f>
        <v>3.8461538461538464E-2</v>
      </c>
    </row>
    <row r="201" spans="1:6" x14ac:dyDescent="0.25">
      <c r="A201" s="92" t="s">
        <v>77</v>
      </c>
      <c r="B201" s="127">
        <f>+GETPIVOTDATA("TIPO REQ.",$A$185,"CLASIFICADO A","JURIDICA")/104</f>
        <v>4.807692307692308E-2</v>
      </c>
    </row>
    <row r="202" spans="1:6" x14ac:dyDescent="0.25">
      <c r="A202" s="92" t="s">
        <v>32</v>
      </c>
      <c r="B202" s="127">
        <f>+GETPIVOTDATA("TIPO REQ.",$A$185,"CLASIFICADO A","COMEDORES")/104</f>
        <v>4.807692307692308E-2</v>
      </c>
    </row>
    <row r="203" spans="1:6" x14ac:dyDescent="0.25">
      <c r="A203" s="92" t="s">
        <v>78</v>
      </c>
      <c r="B203" s="127">
        <f>+GETPIVOTDATA("TIPO REQ.",$A$185,"CLASIFICADO A","SUBFINANCIERA")/104</f>
        <v>5.7692307692307696E-2</v>
      </c>
    </row>
    <row r="204" spans="1:6" x14ac:dyDescent="0.25">
      <c r="A204" s="92" t="s">
        <v>93</v>
      </c>
      <c r="B204" s="127">
        <f>+GETPIVOTDATA("TIPO REQ.",$A$185,"CLASIFICADO A","DESARROLLO HUMANO")/104</f>
        <v>6.7307692307692304E-2</v>
      </c>
    </row>
    <row r="205" spans="1:6" x14ac:dyDescent="0.25">
      <c r="A205" s="92" t="s">
        <v>150</v>
      </c>
      <c r="B205" s="127">
        <f>+GETPIVOTDATA("TIPO REQ.",$A$185,"CLASIFICADO A","BAÑOS PUBLICOS")/104</f>
        <v>9.6153846153846159E-2</v>
      </c>
    </row>
    <row r="206" spans="1:6" x14ac:dyDescent="0.25">
      <c r="A206" s="92" t="s">
        <v>83</v>
      </c>
      <c r="B206" s="127">
        <f>+GETPIVOTDATA("TIPO REQ.",$A$185,"CLASIFICADO A","MISION BOGOTA")/104</f>
        <v>0.13461538461538461</v>
      </c>
    </row>
    <row r="207" spans="1:6" ht="15.75" thickBot="1" x14ac:dyDescent="0.3">
      <c r="A207" s="93" t="s">
        <v>29</v>
      </c>
      <c r="B207" s="128">
        <f>+GETPIVOTDATA("TIPO REQ.",$A$185,"CLASIFICADO A","SUBMETODOS")/104</f>
        <v>0.49038461538461536</v>
      </c>
    </row>
    <row r="211" spans="1:6" ht="15.75" thickBot="1" x14ac:dyDescent="0.3"/>
    <row r="212" spans="1:6" ht="15.75" thickBot="1" x14ac:dyDescent="0.3">
      <c r="A212" s="173" t="s">
        <v>446</v>
      </c>
      <c r="B212" s="174"/>
      <c r="C212" s="174"/>
      <c r="D212" s="174"/>
      <c r="E212" s="174"/>
      <c r="F212" s="175"/>
    </row>
    <row r="213" spans="1:6" ht="15.75" thickBot="1" x14ac:dyDescent="0.3">
      <c r="A213" s="129"/>
      <c r="B213" s="130" t="s">
        <v>441</v>
      </c>
      <c r="C213" s="130" t="s">
        <v>442</v>
      </c>
      <c r="D213" s="130" t="s">
        <v>443</v>
      </c>
      <c r="E213" s="129" t="s">
        <v>427</v>
      </c>
      <c r="F213" s="124" t="s">
        <v>440</v>
      </c>
    </row>
    <row r="214" spans="1:6" ht="15.75" hidden="1" thickBot="1" x14ac:dyDescent="0.3">
      <c r="A214" s="40" t="s">
        <v>428</v>
      </c>
      <c r="B214" s="41" t="s">
        <v>429</v>
      </c>
      <c r="C214" s="42"/>
      <c r="D214" s="42"/>
      <c r="E214" s="133"/>
      <c r="F214" s="76"/>
    </row>
    <row r="215" spans="1:6" ht="15.75" hidden="1" thickBot="1" x14ac:dyDescent="0.3">
      <c r="A215" s="36" t="s">
        <v>426</v>
      </c>
      <c r="B215" s="47" t="s">
        <v>430</v>
      </c>
      <c r="C215" s="48" t="s">
        <v>431</v>
      </c>
      <c r="D215" s="49" t="s">
        <v>432</v>
      </c>
      <c r="E215" s="50" t="s">
        <v>427</v>
      </c>
      <c r="F215" s="76"/>
    </row>
    <row r="216" spans="1:6" ht="15.75" thickBot="1" x14ac:dyDescent="0.3">
      <c r="A216" s="46" t="s">
        <v>29</v>
      </c>
      <c r="B216" s="115">
        <v>15</v>
      </c>
      <c r="C216" s="116">
        <v>16</v>
      </c>
      <c r="D216" s="116">
        <v>20</v>
      </c>
      <c r="E216" s="121">
        <v>51</v>
      </c>
      <c r="F216" s="136"/>
    </row>
    <row r="217" spans="1:6" x14ac:dyDescent="0.25">
      <c r="A217" s="38" t="s">
        <v>177</v>
      </c>
      <c r="B217" s="104"/>
      <c r="C217" s="100">
        <v>2</v>
      </c>
      <c r="D217" s="100"/>
      <c r="E217" s="83">
        <v>2</v>
      </c>
      <c r="F217" s="136">
        <f>+GETPIVOTDATA("TIPO REQ.",$A$214,"TIPIFICACION SERVICIOS","FUNCIONARIO Y/O TRABAJADOR PUBLICO","CLASIFICADO A","SUBMETODOS")/GETPIVOTDATA("TIPO REQ.",$A$214,"CLASIFICADO A","SUBMETODOS")</f>
        <v>3.9215686274509803E-2</v>
      </c>
    </row>
    <row r="218" spans="1:6" x14ac:dyDescent="0.25">
      <c r="A218" s="38" t="s">
        <v>79</v>
      </c>
      <c r="B218" s="104">
        <v>2</v>
      </c>
      <c r="C218" s="100"/>
      <c r="D218" s="100">
        <v>1</v>
      </c>
      <c r="E218" s="83">
        <v>3</v>
      </c>
      <c r="F218" s="136">
        <f>+GETPIVOTDATA("TIPO REQ.",$A$214,"TIPIFICACION SERVICIOS","JÓVENES EN PAZ","CLASIFICADO A","SUBMETODOS")/GETPIVOTDATA("TIPO REQ.",$A$214,"CLASIFICADO A","SUBMETODOS")</f>
        <v>5.8823529411764705E-2</v>
      </c>
    </row>
    <row r="219" spans="1:6" x14ac:dyDescent="0.25">
      <c r="A219" s="38" t="s">
        <v>259</v>
      </c>
      <c r="B219" s="104"/>
      <c r="C219" s="100">
        <v>1</v>
      </c>
      <c r="D219" s="100"/>
      <c r="E219" s="83">
        <v>1</v>
      </c>
      <c r="F219" s="136">
        <f>+GETPIVOTDATA("TIPO REQ.",$A$214,"TIPIFICACION SERVICIOS","SOLICITUD DE INTERVENCION","CLASIFICADO A","SUBMETODOS")/GETPIVOTDATA("TIPO REQ.",$A$214,"CLASIFICADO A","SUBMETODOS")</f>
        <v>1.9607843137254902E-2</v>
      </c>
    </row>
    <row r="220" spans="1:6" x14ac:dyDescent="0.25">
      <c r="A220" s="38" t="s">
        <v>31</v>
      </c>
      <c r="B220" s="104">
        <v>5</v>
      </c>
      <c r="C220" s="100">
        <v>9</v>
      </c>
      <c r="D220" s="100">
        <v>12</v>
      </c>
      <c r="E220" s="83">
        <v>26</v>
      </c>
      <c r="F220" s="136">
        <f>+GETPIVOTDATA("TIPO REQ.",$A$214,"TIPIFICACION SERVICIOS","TEMAS ADMINISTRATIVOS","CLASIFICADO A","SUBMETODOS")/GETPIVOTDATA("TIPO REQ.",$A$214,"CLASIFICADO A","SUBMETODOS")</f>
        <v>0.50980392156862742</v>
      </c>
    </row>
    <row r="221" spans="1:6" ht="15.75" thickBot="1" x14ac:dyDescent="0.3">
      <c r="A221" s="38" t="s">
        <v>33</v>
      </c>
      <c r="B221" s="104">
        <v>8</v>
      </c>
      <c r="C221" s="100">
        <v>4</v>
      </c>
      <c r="D221" s="100">
        <v>7</v>
      </c>
      <c r="E221" s="83">
        <v>19</v>
      </c>
      <c r="F221" s="136">
        <f>+GETPIVOTDATA("TIPO REQ.",$A$214,"TIPIFICACION SERVICIOS","TEMAS MISIONALES UPIS","CLASIFICADO A","SUBMETODOS")/GETPIVOTDATA("TIPO REQ.",$A$214,"CLASIFICADO A","SUBMETODOS")</f>
        <v>0.37254901960784315</v>
      </c>
    </row>
    <row r="222" spans="1:6" ht="15.75" thickBot="1" x14ac:dyDescent="0.3">
      <c r="A222" s="46" t="s">
        <v>427</v>
      </c>
      <c r="B222" s="137">
        <v>15</v>
      </c>
      <c r="C222" s="138">
        <v>16</v>
      </c>
      <c r="D222" s="138">
        <v>20</v>
      </c>
      <c r="E222" s="84">
        <v>51</v>
      </c>
      <c r="F222" s="139">
        <f>SUM(F217:F221)</f>
        <v>1</v>
      </c>
    </row>
    <row r="223" spans="1:6" x14ac:dyDescent="0.25">
      <c r="F223" s="134"/>
    </row>
    <row r="224" spans="1:6" x14ac:dyDescent="0.25">
      <c r="F224" s="134"/>
    </row>
    <row r="225" spans="1:6" ht="15.75" thickBot="1" x14ac:dyDescent="0.3">
      <c r="F225" s="135"/>
    </row>
    <row r="226" spans="1:6" ht="15.75" thickBot="1" x14ac:dyDescent="0.3">
      <c r="A226" s="173" t="s">
        <v>446</v>
      </c>
      <c r="B226" s="174"/>
      <c r="C226" s="174"/>
      <c r="D226" s="174"/>
      <c r="E226" s="174"/>
      <c r="F226" s="175"/>
    </row>
    <row r="227" spans="1:6" ht="15.75" thickBot="1" x14ac:dyDescent="0.3">
      <c r="A227" s="129"/>
      <c r="B227" s="130" t="s">
        <v>441</v>
      </c>
      <c r="C227" s="130" t="s">
        <v>442</v>
      </c>
      <c r="D227" s="130" t="s">
        <v>443</v>
      </c>
      <c r="E227" s="129" t="s">
        <v>427</v>
      </c>
      <c r="F227" s="124" t="s">
        <v>440</v>
      </c>
    </row>
    <row r="228" spans="1:6" ht="15.75" hidden="1" thickBot="1" x14ac:dyDescent="0.3">
      <c r="A228" s="40" t="s">
        <v>428</v>
      </c>
      <c r="B228" s="41" t="s">
        <v>429</v>
      </c>
      <c r="C228" s="42"/>
      <c r="D228" s="42"/>
      <c r="E228" s="133"/>
      <c r="F228" s="76"/>
    </row>
    <row r="229" spans="1:6" ht="23.25" hidden="1" customHeight="1" thickBot="1" x14ac:dyDescent="0.3">
      <c r="A229" s="36" t="s">
        <v>426</v>
      </c>
      <c r="B229" s="47" t="s">
        <v>430</v>
      </c>
      <c r="C229" s="48" t="s">
        <v>431</v>
      </c>
      <c r="D229" s="49" t="s">
        <v>432</v>
      </c>
      <c r="E229" s="50" t="s">
        <v>427</v>
      </c>
      <c r="F229" s="76"/>
    </row>
    <row r="230" spans="1:6" ht="15.75" thickBot="1" x14ac:dyDescent="0.3">
      <c r="A230" s="46" t="s">
        <v>83</v>
      </c>
      <c r="B230" s="115">
        <v>5</v>
      </c>
      <c r="C230" s="116">
        <v>4</v>
      </c>
      <c r="D230" s="116">
        <v>5</v>
      </c>
      <c r="E230" s="121">
        <v>14</v>
      </c>
      <c r="F230" s="136"/>
    </row>
    <row r="231" spans="1:6" x14ac:dyDescent="0.25">
      <c r="A231" s="38" t="s">
        <v>177</v>
      </c>
      <c r="B231" s="104"/>
      <c r="C231" s="100">
        <v>1</v>
      </c>
      <c r="D231" s="100"/>
      <c r="E231" s="83">
        <v>1</v>
      </c>
      <c r="F231" s="136">
        <f>+GETPIVOTDATA("TIPO REQ.",$A$228,"TIPIFICACION SERVICIOS","FUNCIONARIO Y/O TRABAJADOR PUBLICO","CLASIFICADO A","MISION BOGOTA")/14</f>
        <v>7.1428571428571425E-2</v>
      </c>
    </row>
    <row r="232" spans="1:6" ht="15.75" thickBot="1" x14ac:dyDescent="0.3">
      <c r="A232" s="38" t="s">
        <v>31</v>
      </c>
      <c r="B232" s="104">
        <v>5</v>
      </c>
      <c r="C232" s="100">
        <v>3</v>
      </c>
      <c r="D232" s="100">
        <v>5</v>
      </c>
      <c r="E232" s="83">
        <v>13</v>
      </c>
      <c r="F232" s="136">
        <f>+GETPIVOTDATA("TIPO REQ.",$A$228,"TIPIFICACION SERVICIOS","TEMAS ADMINISTRATIVOS","CLASIFICADO A","MISION BOGOTA")/14</f>
        <v>0.9285714285714286</v>
      </c>
    </row>
    <row r="233" spans="1:6" ht="15.75" thickBot="1" x14ac:dyDescent="0.3">
      <c r="A233" s="46" t="s">
        <v>427</v>
      </c>
      <c r="B233" s="137">
        <v>5</v>
      </c>
      <c r="C233" s="138">
        <v>4</v>
      </c>
      <c r="D233" s="138">
        <v>5</v>
      </c>
      <c r="E233" s="84">
        <v>14</v>
      </c>
      <c r="F233" s="139">
        <f>SUM(F228:F232)</f>
        <v>1</v>
      </c>
    </row>
    <row r="234" spans="1:6" x14ac:dyDescent="0.25">
      <c r="F234" s="134"/>
    </row>
    <row r="235" spans="1:6" ht="15.75" thickBot="1" x14ac:dyDescent="0.3">
      <c r="F235" s="134"/>
    </row>
    <row r="236" spans="1:6" ht="15.75" thickBot="1" x14ac:dyDescent="0.3">
      <c r="A236" s="173" t="s">
        <v>449</v>
      </c>
      <c r="B236" s="174"/>
      <c r="C236" s="174"/>
      <c r="D236" s="174"/>
      <c r="E236" s="174"/>
      <c r="F236" s="175"/>
    </row>
    <row r="237" spans="1:6" ht="15.75" thickBot="1" x14ac:dyDescent="0.3">
      <c r="A237" s="129"/>
      <c r="B237" s="130" t="s">
        <v>441</v>
      </c>
      <c r="C237" s="130" t="s">
        <v>442</v>
      </c>
      <c r="D237" s="130" t="s">
        <v>443</v>
      </c>
      <c r="E237" s="129" t="s">
        <v>427</v>
      </c>
      <c r="F237" s="124" t="s">
        <v>440</v>
      </c>
    </row>
    <row r="238" spans="1:6" hidden="1" x14ac:dyDescent="0.25">
      <c r="A238" s="36" t="s">
        <v>448</v>
      </c>
      <c r="B238" s="98" t="s">
        <v>429</v>
      </c>
      <c r="C238" s="99"/>
      <c r="D238" s="99"/>
      <c r="E238" s="37"/>
      <c r="F238" s="37"/>
    </row>
    <row r="239" spans="1:6" ht="15.75" hidden="1" thickBot="1" x14ac:dyDescent="0.3">
      <c r="A239" s="36" t="s">
        <v>426</v>
      </c>
      <c r="B239" s="108" t="s">
        <v>430</v>
      </c>
      <c r="C239" s="109" t="s">
        <v>431</v>
      </c>
      <c r="D239" s="110" t="s">
        <v>432</v>
      </c>
      <c r="E239" s="111" t="s">
        <v>427</v>
      </c>
      <c r="F239" s="37"/>
    </row>
    <row r="240" spans="1:6" x14ac:dyDescent="0.25">
      <c r="A240" s="71" t="s">
        <v>433</v>
      </c>
      <c r="B240" s="104">
        <v>32</v>
      </c>
      <c r="C240" s="100">
        <v>32</v>
      </c>
      <c r="D240" s="100">
        <v>32</v>
      </c>
      <c r="E240" s="142">
        <v>96</v>
      </c>
      <c r="F240" s="127">
        <f>+GETPIVOTDATA("RANGOS DE CONTESTACION",$A$238,"RANGOS DE CONTESTACION","Dentro de terminos")/104</f>
        <v>0.92307692307692313</v>
      </c>
    </row>
    <row r="241" spans="1:6" x14ac:dyDescent="0.25">
      <c r="A241" s="71" t="s">
        <v>434</v>
      </c>
      <c r="B241" s="104"/>
      <c r="C241" s="100"/>
      <c r="D241" s="100">
        <v>2</v>
      </c>
      <c r="E241" s="142">
        <v>2</v>
      </c>
      <c r="F241" s="127">
        <f>+GETPIVOTDATA("RANGOS DE CONTESTACION",$A$238,"RANGOS DE CONTESTACION","En Tramite")/104</f>
        <v>1.9230769230769232E-2</v>
      </c>
    </row>
    <row r="242" spans="1:6" ht="15.75" thickBot="1" x14ac:dyDescent="0.3">
      <c r="A242" s="72" t="s">
        <v>435</v>
      </c>
      <c r="B242" s="104">
        <v>2</v>
      </c>
      <c r="C242" s="100">
        <v>4</v>
      </c>
      <c r="D242" s="100"/>
      <c r="E242" s="142">
        <v>6</v>
      </c>
      <c r="F242" s="127">
        <f>+GETPIVOTDATA("RANGOS DE CONTESTACION",$A$238,"RANGOS DE CONTESTACION","Fuera de terminos")/104</f>
        <v>5.7692307692307696E-2</v>
      </c>
    </row>
    <row r="243" spans="1:6" ht="15.75" thickBot="1" x14ac:dyDescent="0.3">
      <c r="A243" s="72" t="s">
        <v>427</v>
      </c>
      <c r="B243" s="105">
        <v>34</v>
      </c>
      <c r="C243" s="102">
        <v>36</v>
      </c>
      <c r="D243" s="102">
        <v>34</v>
      </c>
      <c r="E243" s="143">
        <v>104</v>
      </c>
      <c r="F243" s="141">
        <f>SUM(F240:F242)</f>
        <v>1</v>
      </c>
    </row>
    <row r="244" spans="1:6" x14ac:dyDescent="0.25">
      <c r="F244" s="140"/>
    </row>
    <row r="246" spans="1:6" ht="15.75" thickBot="1" x14ac:dyDescent="0.3"/>
    <row r="247" spans="1:6" ht="15.75" thickBot="1" x14ac:dyDescent="0.3"/>
  </sheetData>
  <autoFilter ref="A44:B52"/>
  <mergeCells count="10">
    <mergeCell ref="A1:F1"/>
    <mergeCell ref="A25:F25"/>
    <mergeCell ref="A59:F59"/>
    <mergeCell ref="A99:F99"/>
    <mergeCell ref="A147:F147"/>
    <mergeCell ref="A236:F236"/>
    <mergeCell ref="A161:F161"/>
    <mergeCell ref="A183:F183"/>
    <mergeCell ref="A212:F212"/>
    <mergeCell ref="A226:F226"/>
  </mergeCells>
  <pageMargins left="0.7" right="0.7" top="0.75" bottom="0.75" header="0.3" footer="0.3"/>
  <pageSetup orientation="portrait" r:id="rId12"/>
  <drawing r:id="rId1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workbookViewId="0"/>
  </sheetViews>
  <sheetFormatPr baseColWidth="10" defaultRowHeight="15" x14ac:dyDescent="0.25"/>
  <cols>
    <col min="1" max="1" width="10.7109375" customWidth="1"/>
    <col min="2" max="2" width="11.140625" customWidth="1"/>
    <col min="3" max="3" width="14.85546875" customWidth="1"/>
    <col min="4" max="4" width="14" customWidth="1"/>
  </cols>
  <sheetData>
    <row r="1" spans="1:4" x14ac:dyDescent="0.25">
      <c r="A1" s="2">
        <v>42370</v>
      </c>
      <c r="C1" s="10"/>
    </row>
    <row r="2" spans="1:4" x14ac:dyDescent="0.25">
      <c r="A2" s="2">
        <v>42380</v>
      </c>
      <c r="C2" s="10"/>
    </row>
    <row r="3" spans="1:4" x14ac:dyDescent="0.25">
      <c r="A3" s="2">
        <v>42450</v>
      </c>
    </row>
    <row r="4" spans="1:4" x14ac:dyDescent="0.25">
      <c r="A4" s="2">
        <v>42453</v>
      </c>
    </row>
    <row r="5" spans="1:4" x14ac:dyDescent="0.25">
      <c r="A5" s="2">
        <v>42454</v>
      </c>
      <c r="D5" s="10"/>
    </row>
    <row r="6" spans="1:4" x14ac:dyDescent="0.25">
      <c r="A6" s="2">
        <v>42499</v>
      </c>
    </row>
    <row r="7" spans="1:4" x14ac:dyDescent="0.25">
      <c r="A7" s="2">
        <v>42520</v>
      </c>
    </row>
    <row r="8" spans="1:4" x14ac:dyDescent="0.25">
      <c r="A8" s="2">
        <v>42527</v>
      </c>
    </row>
    <row r="9" spans="1:4" x14ac:dyDescent="0.25">
      <c r="A9" s="2">
        <v>42555</v>
      </c>
    </row>
    <row r="10" spans="1:4" x14ac:dyDescent="0.25">
      <c r="A10" s="2">
        <v>42571</v>
      </c>
    </row>
    <row r="11" spans="1:4" x14ac:dyDescent="0.25">
      <c r="A11" s="2">
        <v>42597</v>
      </c>
    </row>
    <row r="12" spans="1:4" x14ac:dyDescent="0.25">
      <c r="A12" s="2">
        <v>42660</v>
      </c>
    </row>
    <row r="13" spans="1:4" x14ac:dyDescent="0.25">
      <c r="A13" s="2">
        <v>42681</v>
      </c>
    </row>
    <row r="14" spans="1:4" x14ac:dyDescent="0.25">
      <c r="A14" s="2">
        <v>42688</v>
      </c>
    </row>
    <row r="15" spans="1:4" x14ac:dyDescent="0.25">
      <c r="A15" s="2">
        <v>42712</v>
      </c>
    </row>
    <row r="16" spans="1:4" x14ac:dyDescent="0.25">
      <c r="A16" s="2">
        <v>42741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REQUERIMIENTOS 2016 (2)</vt:lpstr>
      <vt:lpstr>REQUERIMIENTOS 2016</vt:lpstr>
      <vt:lpstr>TD</vt:lpstr>
      <vt:lpstr>GRAFICAS</vt:lpstr>
      <vt:lpstr>DIAS LABORALES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Willian Andres Cely Medina</dc:creator>
  <cp:lastModifiedBy>BlancaA</cp:lastModifiedBy>
  <cp:lastPrinted>2016-03-07T21:14:23Z</cp:lastPrinted>
  <dcterms:created xsi:type="dcterms:W3CDTF">2015-08-26T14:26:02Z</dcterms:created>
  <dcterms:modified xsi:type="dcterms:W3CDTF">2016-04-19T19:33:44Z</dcterms:modified>
</cp:coreProperties>
</file>